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455" activeTab="0"/>
  </bookViews>
  <sheets>
    <sheet name="Прил.№ 2 Ведомственная" sheetId="1" r:id="rId1"/>
  </sheets>
  <definedNames>
    <definedName name="_xlnm.Print_Titles" localSheetId="0">'Прил.№ 2 Ведомственная'!$12:$12</definedName>
  </definedNames>
  <calcPr fullCalcOnLoad="1"/>
</workbook>
</file>

<file path=xl/sharedStrings.xml><?xml version="1.0" encoding="utf-8"?>
<sst xmlns="http://schemas.openxmlformats.org/spreadsheetml/2006/main" count="578" uniqueCount="255">
  <si>
    <t>1</t>
  </si>
  <si>
    <t>2</t>
  </si>
  <si>
    <t>3</t>
  </si>
  <si>
    <t>4</t>
  </si>
  <si>
    <t>5</t>
  </si>
  <si>
    <t>6</t>
  </si>
  <si>
    <t>035</t>
  </si>
  <si>
    <t>00</t>
  </si>
  <si>
    <t>00 0 00 00000</t>
  </si>
  <si>
    <t>000</t>
  </si>
  <si>
    <t>01</t>
  </si>
  <si>
    <t>02</t>
  </si>
  <si>
    <t>04</t>
  </si>
  <si>
    <t>05</t>
  </si>
  <si>
    <t>11</t>
  </si>
  <si>
    <t>13</t>
  </si>
  <si>
    <t>08</t>
  </si>
  <si>
    <t>09</t>
  </si>
  <si>
    <t>03</t>
  </si>
  <si>
    <t>07</t>
  </si>
  <si>
    <t>10</t>
  </si>
  <si>
    <t>12</t>
  </si>
  <si>
    <t>Администрация Южского муниципального района</t>
  </si>
  <si>
    <r>
      <t xml:space="preserve">Всего: </t>
    </r>
  </si>
  <si>
    <t xml:space="preserve">Поддержка талантливой молодежи (Предоставление субсидий бюджетным, автономным учреждениям и иным некоммерческим организациям) </t>
  </si>
  <si>
    <t xml:space="preserve">Проведение спортивно-оздоровительных и спортивно-массовых мероприятий (Закупка товаров, работ и услуг для обеспечения государственных (муниципальных) нужд) </t>
  </si>
  <si>
    <t>Обеспечение деятельности учреждений культуры Южского городского поселения Южского муниципального района (Предоставление субсидий бюджетным, автономным учреждениям и иным некоммерческим организациям)</t>
  </si>
  <si>
    <t>Обеспечение функционирования главы Южского городского поселения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</si>
  <si>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Обеспечение функционирования Совета Южского городского поселения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r>
      <rPr>
        <i/>
        <sz val="10"/>
        <rFont val="Times New Roman"/>
        <family val="1"/>
      </rPr>
      <t xml:space="preserve"> </t>
    </r>
  </si>
  <si>
    <t>Обеспечение функционирования Совета Южского городского поселения Южского муниципального района (Закупка товаров, работ и услуг для обеспечения государственных (муниципальных) нужд)</t>
  </si>
  <si>
    <t>01 1 02 20010</t>
  </si>
  <si>
    <t xml:space="preserve">01 2 01 20020 </t>
  </si>
  <si>
    <t>Проведение мероприятий  среди молодежи  (Предоставление субсидий бюджетным, автономным учреждениям и иным некоммерческим организациям)</t>
  </si>
  <si>
    <t>01 2 01 20030</t>
  </si>
  <si>
    <t xml:space="preserve">01 2 01 20040 </t>
  </si>
  <si>
    <t>01 2 01 20050</t>
  </si>
  <si>
    <t xml:space="preserve">01 2 01 00010 </t>
  </si>
  <si>
    <t>01 2 01 S0340</t>
  </si>
  <si>
    <t>31 9 00 66010</t>
  </si>
  <si>
    <t>14</t>
  </si>
  <si>
    <t>Мероприятия по  развитию системы гражданской обороны, предупреждению и ликвидации чрезвычайных ситуаций, обеспечению безопасности людей на водных объектах Южского городского поселения, охране их жизни и здоровья (Закупка товаров, работ и услуг для обеспечения государственных (муниципальных) нужд)</t>
  </si>
  <si>
    <t>03 2 01 20290</t>
  </si>
  <si>
    <t xml:space="preserve">Мероприятия, направленные на обеспечение первичных мер пожарной безопасности в границах населенных пунктов Южского городского поселения (Закупка товаров, работ и услуг для обеспечения государственных (муниципальных) нужд) </t>
  </si>
  <si>
    <t xml:space="preserve">03 2 01 20280 </t>
  </si>
  <si>
    <t>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t>
  </si>
  <si>
    <t>02 7 02 20250</t>
  </si>
  <si>
    <t>Обеспечение улучшения организации дорожного движения  (Закупка товаров, работ и услуг для обеспечения государственных (муниципальных) нужд)</t>
  </si>
  <si>
    <t>02 4 01 20210</t>
  </si>
  <si>
    <t>Капитальный ремонт, ремонт и содержание жилищного фонда (Закупка товаров, работ и услуг для обеспечения государственных (муниципальных) нужд)</t>
  </si>
  <si>
    <t xml:space="preserve">02 1 01 20080 </t>
  </si>
  <si>
    <t>Капитальный ремонт общего имущества многоквартирных домов, в соответствии с региональной программой капитального ремонта общего имущества (Закупка товаров, работ и услуг для обеспечения государственных (муниципальных) нужд)</t>
  </si>
  <si>
    <t xml:space="preserve">02 1 01 20090 </t>
  </si>
  <si>
    <t>Предоставление статистической отчетности "Форма №1-Жилфонд" (Закупка товаров, работ и услуг для обеспечения государственных (муниципальных) нужд)</t>
  </si>
  <si>
    <t xml:space="preserve">02 1 01 20110 </t>
  </si>
  <si>
    <t>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 (Иные бюджетные ассигнования)</t>
  </si>
  <si>
    <t>02 6 01 60030</t>
  </si>
  <si>
    <t xml:space="preserve">02 2 01 20140 </t>
  </si>
  <si>
    <t xml:space="preserve">Мероприятия по уличному освещению Южского городского поселения Южского муниципального района (Закупка товаров, работ и услуг для обеспечения государственных (муниципальных) нужд) </t>
  </si>
  <si>
    <t xml:space="preserve">02 2 01 20160 </t>
  </si>
  <si>
    <t>Прочие мероприятия  в области благоустройства (Закупка товаров, работ и услуг для обеспечения государственных (муниципальных) нужд)</t>
  </si>
  <si>
    <t xml:space="preserve">02 2 01 20170 </t>
  </si>
  <si>
    <t>30 9 00 00200</t>
  </si>
  <si>
    <t>30 9 00 00210</t>
  </si>
  <si>
    <t>Организация дополнительного пенсионного обеспечения отдельных категорий граждан (Социальное обеспечение и иные выплаты населению)</t>
  </si>
  <si>
    <t xml:space="preserve">Предоставление за счет средств Южского городского поселения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 </t>
  </si>
  <si>
    <t>Мероприятия по содержанию территории Южского городского поселения, а также проектированию, созданию, реконструкции, капитальному ремонту, ремонту и содержанию объектов благоустройства (Закупка товаров, работ и услуг для обеспечения государственных (муниципальных) нужд)</t>
  </si>
  <si>
    <t>Обеспечение деятельности муниципального казенного учреждения "Управление городского хозяйства"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</si>
  <si>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казенного учреждения "Управление городского хозяйства" (Закупка товаров, работ и услуг для обеспечения государственных (муниципальных) нужд)</t>
  </si>
  <si>
    <t>02 8 01 00220</t>
  </si>
  <si>
    <r>
      <t>Организация массовых, культурно-зрелищных мероприятий (Предоставление субсидий бюджетным, автономным учреждениям и иным некоммерческим организациям)</t>
    </r>
  </si>
  <si>
    <t>Наименование</t>
  </si>
  <si>
    <t>Код главного распорядителя</t>
  </si>
  <si>
    <t>Раздел</t>
  </si>
  <si>
    <t>Подраздел</t>
  </si>
  <si>
    <t>Целевая статья</t>
  </si>
  <si>
    <t>Вид расходов</t>
  </si>
  <si>
    <t xml:space="preserve">Содержание и обслуживание казны (Иные бюджетные ассигнования) </t>
  </si>
  <si>
    <t>31 9 00 20340</t>
  </si>
  <si>
    <t xml:space="preserve">31 9 00 20730 </t>
  </si>
  <si>
    <t>Прочие мероприятия в области коммунального хозяйства (Закупка товаров, работ и услуг для обеспечения государственных (муниципальных) нужд)</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</si>
  <si>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 (Закупка товаров, работ и услуг для обеспечения государственных (муниципальных) нужд) </t>
  </si>
  <si>
    <t xml:space="preserve">02 1 01 20120 </t>
  </si>
  <si>
    <t>02 1 01 20680</t>
  </si>
  <si>
    <t>Поддержка театрального движения Южского городского поселения и деятельности Южского народного театра (Предоставление субсидий бюджетным, автономным учреждениям и иным некоммерческим организациям)</t>
  </si>
  <si>
    <t>01 2 01 20870</t>
  </si>
  <si>
    <t xml:space="preserve">Взносы в Ассоциацию "Совет муниципальных образований Ивановской области" (Иные бюджетные ассигнования) </t>
  </si>
  <si>
    <t>30 9 00 90030</t>
  </si>
  <si>
    <t xml:space="preserve">Организация массовых, культурно-зрелищных мероприятий  (Предоставление субсидий бюджетным, автономным учреждениям и иным некоммерческим организациям) </t>
  </si>
  <si>
    <t>03 1 01 21090</t>
  </si>
  <si>
    <t>Предоставление 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</si>
  <si>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02 1 01 60040</t>
  </si>
  <si>
    <t>Оказание услуг по захоронению умерших (погибших), согласно гарантированному перечню услуг по погребению на территории Южского городского поселения  (Закупка товаров, работ и услуг для обеспечения государственных (муниципальных) нужд)</t>
  </si>
  <si>
    <t>31 9 00 20960</t>
  </si>
  <si>
    <t xml:space="preserve">Комитет по управлению муниципальным имуществом администрации Южского муниципального района Ивановской области </t>
  </si>
  <si>
    <t>041</t>
  </si>
  <si>
    <t xml:space="preserve">Управление жилищно-коммунального хозяйства Администрации Южского муниципального района </t>
  </si>
  <si>
    <t>044</t>
  </si>
  <si>
    <t>Приобретение товаров и оказание услуг по организации канала связи для системы видеонаблюдения на территории Южского городского поселения (Закупка товаров, работ и услуг для обеспечения государственных (муниципальных) нужд)</t>
  </si>
  <si>
    <t>Оплата юридических услуг и иных услуг, связанных с представлением интересов Администрации Южского муниципального района (Закупка товаров, работ и услуг для обеспечения государственных (муниципальных) нужд)</t>
  </si>
  <si>
    <t>02 4 01 21150</t>
  </si>
  <si>
    <t>Выполнение работ по нанесению линий дорожной разметки (Закупка товаров, работ и услуг для обеспечения государственных (муниципальных) нужд)</t>
  </si>
  <si>
    <t>02 3 01 S0510</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</si>
  <si>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</si>
  <si>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800</t>
  </si>
  <si>
    <t>06</t>
  </si>
  <si>
    <t>02 2 01 21260</t>
  </si>
  <si>
    <t>Содержание и ремонт нецентрализованных источников водоснабжения (Закупка товаров, работ и услуг для обеспечения государственных (муниципальных) нужд)</t>
  </si>
  <si>
    <t>02 2 01 21410</t>
  </si>
  <si>
    <t>Ликвидация несанкционированных свалок (Закупка товаров, работ и услуг для обеспечения государственных (муниципальных) нужд)</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</si>
  <si>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</si>
  <si>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01 2 01 80340</t>
  </si>
  <si>
    <t>Обеспечение организации дорожной деятельности, осуществление муниципального контроля за сохранностью автомобильных дорог,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 ремонта тротуаров, капитального ремонта и ремонта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t>
  </si>
  <si>
    <t>02 3 01 21400</t>
  </si>
  <si>
    <t>Выполнение работ по обустройству тротуара по ул. Революции г. Южа (в соответствии с  решением суда  № 2-58/2018 от 24.01.2018) (Закупка товаров, работ и услуг для обеспечения государственных (муниципальных) нужд)</t>
  </si>
  <si>
    <t>02 3 01 21420</t>
  </si>
  <si>
    <t xml:space="preserve">Капитальный ремонт и ремонт автомобильных дорог общего пользования, ремонт тротуаров, капитальный ремонт и ремонт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 </t>
  </si>
  <si>
    <t xml:space="preserve">02 3 01 20200 </t>
  </si>
  <si>
    <t>Оказание услуг по  осуществлению строительного контроля по ремонту автомобильных дорог на территории Южского городского поселения  (Закупка товаров, работ и услуг для обеспечения государственных (муниципальных) нужд)</t>
  </si>
  <si>
    <t>02 3 01 21370</t>
  </si>
  <si>
    <t>Организация заливки и содержания катка на территории спортивной площадки,  в районе улиц  Серова-Осипенко г. Южа (Закупка товаров, работ и услуг для обеспечения государственных (муниципальных) нужд)</t>
  </si>
  <si>
    <t xml:space="preserve">035 </t>
  </si>
  <si>
    <t>01 2 01 21480</t>
  </si>
  <si>
    <t>02 9 01 60060</t>
  </si>
  <si>
    <t>Субсидии на возмещение затрат по организации  безопасности, содержанию и эксплуатации гидротехнического сооружения (плотина на р. Пионерка (оз. Вазаль)), инв. № 8159, лит. I, адрес: г. Южа, ул. Дача, район дома № 1-А (Иные бюджетные ассигнования)</t>
  </si>
  <si>
    <t xml:space="preserve">05 </t>
  </si>
  <si>
    <t>06 1 01 21550</t>
  </si>
  <si>
    <t>Оказание услуг по ежегодному основному осмотру оборудования и покрытия на детских, спортивных площадках и декоративных элементах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</si>
  <si>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Мероприятия по озеленению территории Южского городского поселения Южского муниципального района (Закупка товаров, работ и услуг для обеспечения государственных (муниципальных) нужд)</t>
  </si>
  <si>
    <t>02 2 01 20150</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</si>
  <si>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дорожного хозяйства (Закупка товаров, работ и услуг для обеспечения государственных (муниципальных) нужд)</t>
  </si>
  <si>
    <t xml:space="preserve">02 3 01 20690 </t>
  </si>
  <si>
    <t xml:space="preserve">Приобретение концентрата минерального "Галит", поставка песка строительного, выполнение работ по приготовлению песко-соляной смеси  (Закупка товаров, работ и услуг для обеспечения государственных (муниципальных) нужд) </t>
  </si>
  <si>
    <t>02 3 01 21050</t>
  </si>
  <si>
    <t>02 3 01 21640</t>
  </si>
  <si>
    <t>02 3 01 21650</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</si>
  <si>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благоустройства (Закупка товаров, работ и услуг для обеспечения государственных (муниципальных) нужд)</t>
  </si>
  <si>
    <t>02 2 01 20490</t>
  </si>
  <si>
    <t>02 7 01 21740</t>
  </si>
  <si>
    <t xml:space="preserve">02 7 01 21750 </t>
  </si>
  <si>
    <t>02 2 01 21760</t>
  </si>
  <si>
    <t>Выполнение работ по содержанию территорий общего пользования местного значения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</si>
  <si>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</si>
  <si>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 xml:space="preserve">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 </t>
  </si>
  <si>
    <t>Иной межбюджетный трансферт Южскому муниципальному району  из бюджета Южского городского поселения на реализацию переданных полномочий Контрольно-счетному органу Южского муниципального района по осуществлению внешнего муниципального финансового контроля (Межбюджетные трансферты)</t>
  </si>
  <si>
    <t>31 9 00 10010</t>
  </si>
  <si>
    <t>500</t>
  </si>
  <si>
    <t>Выполнение работ по техническому обслуживанию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</si>
  <si>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 02 2 01 21770</t>
  </si>
  <si>
    <t>02 2 01 21780</t>
  </si>
  <si>
    <t>Организация оплаты электроснабжения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</si>
  <si>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02 2 01 21790</t>
  </si>
  <si>
    <t>Выполнение работ по установке, украшению, подключению Новогодней ели и инсталляций, их содержание на общественной территории площади Ленина г. Южа (Закупка товаров, работ и услуг для обеспечения государственных (муниципальных) нужд)</t>
  </si>
  <si>
    <t>Выполнение работ по демонтажу Новогодней ели и инсталляций на общественной территории площади Ленина г. Южа (Закупка товаров, работ и услуг для обеспечения государственных (муниципальных) нужд)</t>
  </si>
  <si>
    <t>02 2 01 21810</t>
  </si>
  <si>
    <t>02 2 01 21820</t>
  </si>
  <si>
    <t>Строительство двух нецентрализованных источников водоснабжения ул. 4-Рабочая у дома № 5; ул. Брюханова у дома № 5А, г. Южа (Капитальные вложения в объекты государственной (муниципальной) собственности)</t>
  </si>
  <si>
    <t>02 2 01 21800</t>
  </si>
  <si>
    <t>Мероприятия, связанные с размещением светильников  уличного освещения и узлов учета электроэнергии на объектах электросетевого хозяйства, не являющихся  собственностью Южского городского поселения Южского муниципального района  (Закупка товаров, работ и услуг для обеспечения государственных (муниципальных) нужд)</t>
  </si>
  <si>
    <t>02 3 01 21710</t>
  </si>
  <si>
    <t>Выполнение работ по разработке проектно-сметной документации на обустройство наружным искусственным освещением ул. Текстильщиков в г.Южа, по решению суда № 2-365/2021 от 28.05.2021 (Закупка товаров, работ и услуг для обеспечения государственных (муниципальных) нужд)</t>
  </si>
  <si>
    <t>02 2 01 21380</t>
  </si>
  <si>
    <t>Приобретение  товаров и оказание услуг по организации канала связи для системы видеонаблюдения на территории Южского городского поселения (в рамках подпрограммы «Благоустройство и озеленение Южского городского поселения») (Закупка товаров, работ и услуг для обеспечения государственных (муниципальных) нужд)</t>
  </si>
  <si>
    <t>Выполнение работ по подготовке "сухого" фонтана на пл. Ленина г.Южа к летнему периоду  (Закупка товаров, работ и услуг для обеспечения государственных (муниципальных) нужд)</t>
  </si>
  <si>
    <t>06 1 01 21830</t>
  </si>
  <si>
    <t>01 2 01 S1980</t>
  </si>
  <si>
    <t xml:space="preserve">Укрепление материально-технической базы муниципальных учреждений культуры Ивановской области (Предоставление субсидий бюджетным, автономным учреждениям и иным некоммерческим организациям) </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</si>
  <si>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(Предоставление субсидий бюджетным, автономным учреждениям и иным некоммерческим организациям) </t>
  </si>
  <si>
    <t>31 9 00 90420</t>
  </si>
  <si>
    <t>Оплата задолженности  ООО "Объединенные котельные" по судебному приказу Мирового судьи судебного участка № 3 Палехского судебного района в Ивановской области № 2-1217/2017 от 23.10.2017, в связи с заменой должника - Ланцова Ю.Н. его правопреемником - Южским городским поселением в лице Администрации Южского муниципального района (Закупка товаров, работ и услуг для обеспечения государственных (муниципальных) нужд)</t>
  </si>
  <si>
    <t>Оплата задолженности  ООО "Объединенные котельные" по судебному приказу Мирового судьи судебного участка № 3 Палехского судебного района в Ивановской области № 2-1217/2017 от 23.10.2017, в связи с заменой должника - Ланцова Ю.Н. его правопреемником - Южским городским поселением в лице Администрации Южского муниципального района (Иные бюджетные ассигнования)</t>
  </si>
  <si>
    <t>06 1 01 21880</t>
  </si>
  <si>
    <t>06 1 01 21890</t>
  </si>
  <si>
    <t>06 1 01 21900</t>
  </si>
  <si>
    <t>Оказание услуг по осуществлению строительного контроля по объекту: "Устройство детской игровой площадки между домами по улице Осипенко д.12 и Стадионная д.14А  г. Южа"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</si>
  <si>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на территории ТОС "Дружный" в районе ул. Серова д.9, 9а, 11, Горького д. 1, 3  г. Южа"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</si>
  <si>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на территории ТОС "Старая Южа" по ул. Кирьянова г. Южа" (Закупка товаров, работ и услуг для обеспечения государственных (муниципальных) нужд)</t>
  </si>
  <si>
    <t>06 1 F2 S5101</t>
  </si>
  <si>
    <t>06 1 F2 S5102</t>
  </si>
  <si>
    <t>06 1 F2 S5103</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</si>
  <si>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между домами по улице Осипенко, д. 12, и Стадионная, д. 14А, г. Южа)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</si>
  <si>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"Дружный" в районе улиц Серова, д. 9, 9а, 11, Горького, д. 1, 3, г. Южа)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</si>
  <si>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"Старая Южа" по ул. Кирьянова г. Южа) (Закупка товаров, работ и услуг для обеспечения государственных (муниципальных) нужд)</t>
  </si>
  <si>
    <t>Строительство линии уличного освещения по адресу: Ивановская область, г. Южа, ул. Куйбышева (от пересечения с ул. Глушицкий проезд до ул. Дачная в соответствии с Решением суда № 2-152/2018 от 29.03.2018) (Капитальные вложения в объекты государственной (муниципальной) собственности)</t>
  </si>
  <si>
    <t>06 1 01 21910</t>
  </si>
  <si>
    <t>Содержание и ремонт оборудования и покрытия на детских, спортивных площадках и декоративных элементов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</si>
  <si>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31 9 00 66070</t>
  </si>
  <si>
    <t>Оказание единовременной материальной помощи гражданам, пострадавшим в результате пожара, произошедшего 03 февраля 2022 года  по адресу: Ивановская область, г. Южа, ул. Черняховского, д. 37  (Социальное обеспечение и   иные выплаты населению)</t>
  </si>
  <si>
    <t>Финансовое обеспечение дорожной деятельности на автомобильных дорогах общего пользования местного значения (Закупка товаров, работ и услуг для обеспечения государственных (муниципальных) нужд)</t>
  </si>
  <si>
    <t>02 3 01 S8600</t>
  </si>
  <si>
    <t>02 2 01 40030</t>
  </si>
  <si>
    <t>02 3 01 21920</t>
  </si>
  <si>
    <t>31 9 00 20720</t>
  </si>
  <si>
    <t>Организация повышения квалификации работников казенных учреждений (Закупка товаров, работ и услуг для обеспечения государственных (муниципальных) нужд)</t>
  </si>
  <si>
    <t>02 1 01 S6800</t>
  </si>
  <si>
    <t>Реализация мероприятий по модернизации объектов коммунальной инфраструктуры (Закупка товаров, работ и услуг для обеспечения государственных (муниципальных) нужд)</t>
  </si>
  <si>
    <t>01 2 01 21930</t>
  </si>
  <si>
    <t>Выполнение работ по пересчету сметной документации в ценах 1 квартала 2022 года по объекту: "Рабочая документация на капитальный ремонт части здания объекта культурного наследия местного (муниципального) значения "Народный дом", расположенный по адресу: Ивановская область, г. Южа, ул. Советская, д.9" (Предоставление субсидий бюджетным, автономным учреждениям и иным некоммерческим организациям)</t>
  </si>
  <si>
    <t>Ремонт пешеходного тротуара по четной стороне ул. Арсеньевка г. Южа (по решению суда № 2-587/2019 от 26.09.2019г.) (Закупка товаров, работ и услуг для обеспечения государственных (муниципальных) нужд)</t>
  </si>
  <si>
    <t>Выполнение работ по обустройству пешеходного тротуара  по четной стороне ул. Лермонтова  г. Южа (в соответствии с решением суда № 2-173/2018 от 13.03.2018) (Капитальные вложения в объекты государственной (муниципальной) собственности)</t>
  </si>
  <si>
    <t>Выполнение работ, связанных с осуществлением регулярных перевозок по регулируемым тарифам по муниципальным маршрутам Южского городского поселения (Закупка товаров, работ и услуг для обеспечения государственных (муниципальных) нужд)</t>
  </si>
  <si>
    <t>02 3 02 21940</t>
  </si>
  <si>
    <t>30 9 00 00310</t>
  </si>
  <si>
    <t>Содержание имущества Южского городского поселения Южского муниципального района (Закупка товаров, работ и услуг для обеспечения государственных (муниципальных) нужд)</t>
  </si>
  <si>
    <t>31 9 00 90430</t>
  </si>
  <si>
    <t>02 3 02 20860</t>
  </si>
  <si>
    <t>200</t>
  </si>
  <si>
    <t>Выполнение работ, связанных с осуществлением регулируемых перевозок по регулируемым тарифам по муниципальным маршрутам Южского городского поселения (Закупка товаров, работ и услуг для обеспечения государственных (муниципальных) нужд)</t>
  </si>
  <si>
    <t>Оплата судебных издержек ООО "Водосети" по исполнительному листу: серия ФС № 038534439, выданный Арбитражным судом Ивановской области по делу № А-17-4873/2020 от 30 июля 2021 г. (Иные бюджетные ассигнования)</t>
  </si>
  <si>
    <t>31 9 00 90440</t>
  </si>
  <si>
    <t>Оплата административного штрафа (в соответствии с постановлением по делу об административном правонарушении от 17.05.2022 года, АД № 10152/21/37023-ИП от 01.02.2021г.) (Иные бюджетные ассигнования)</t>
  </si>
  <si>
    <t>02 3 01 21950</t>
  </si>
  <si>
    <t>Выполнение работ по оказанию услуг по проверке объема и качества выполненных работ в рамках ремонта автомобильных дорог на территории Южского городского поселения (Закупка товаров, работ и услуг для обеспечения государственных (муниципальных) нужд)</t>
  </si>
  <si>
    <t>Организация дополнительного пенсионного обеспечения отдельных категорий граждан (Закупка товаров, работ и услуг для обеспечения государственных (муниципальных) нужд)</t>
  </si>
  <si>
    <t>31 9 00 90460</t>
  </si>
  <si>
    <t>Оплата судебных расходов  по определению Арбитражного суда Ивановской области от 20 июня 2022г. по делу № А17-4845/2021 (Иные бюджетные ассигнования)</t>
  </si>
  <si>
    <t>31 9 00 90480</t>
  </si>
  <si>
    <t>Оплата задолженности ООО "Объединенные котельные" по определению Арбитражного суда Ивановской области от 30 июня 2022г. об утверждении мирового соглашения и прекращении производства по делу № А17-4036/2022 (Закупка товаров, работ и услуг для обеспечения государственных (муниципальных) нужд)</t>
  </si>
  <si>
    <t>Оплата задолженности ООО "Объединенные котельные" по решению Арбитражного суда Ивановской области от 29 июня 2022г. делу № А17-3846/2022 (Закупка товаров, работ и услуг для обеспечения государственных (муниципальных) нужд)</t>
  </si>
  <si>
    <t>Оплата задолженности ООО "Объединенные котельные" по решению Арбитражного суда Ивановской области от 29 июня 2022г. делу № А17-3846/2022 (Иные бюджетные ассигнования)</t>
  </si>
  <si>
    <t>31 9 00 90490</t>
  </si>
  <si>
    <t>037</t>
  </si>
  <si>
    <t>Финансовый отдел администрации Южского муниципального района</t>
  </si>
  <si>
    <t>31 9 00 90450</t>
  </si>
  <si>
    <t>31 9 00 90470</t>
  </si>
  <si>
    <t>Исполнение судебного акта от 25.02.2022 года по делу № А17-12307/2021 Арбитражного суда Ивановской области о взыскании с Южского городского поселения Южского муниципального района в лице Администрации Южского муниципального района за счет казны Южского городского поселения в пользу общества с ограниченной ответственностью "Объединенные котельные" (Иные бюджетные ассигнования)</t>
  </si>
  <si>
    <t>Исполнение судебного акта от 24.08.2020 года по делу № 2-14/2020 о взыскании с  Южского городского поселения Южского муниципального района Ивановской области в лице администрации Южского муниципального района Ивановской области за счет казны Южского городского поселения Южского муниципального района Ивановской области в пользу ПАО "Совкомбанк" (Иные бюджетные ассигнования)</t>
  </si>
  <si>
    <t xml:space="preserve">Исполнение судебного акта от 25.02.2022 года по делу № А17-12307/2021 Арбитражного суда Ивановской области о взыскании с Южского городского поселения Южского муниципального района в лице Администрации Южского муниципального района за счет казны Южского городского поселения в пользу общества с ограниченной ответственностью "Объединенные котельные" (Закупка товаров, работ и услуг для обеспечения государственных (муниципальных) нужд) </t>
  </si>
  <si>
    <t>Выполнение работ по обустройству тротуаров с правой и левой стороны автомобильной дороги  на ул. Калинина г. Южа (в соответствии с решением суда № 2-291/2017 от 08.08.2017) (Капитальные вложения в объекты государственной (муниципальной) собственности)</t>
  </si>
  <si>
    <t>02 2 01 21980</t>
  </si>
  <si>
    <t>Мероприятия по комплексному содержанию общественных территорий Южского городского поселения (Закупка товаров, работ и услуг для обеспечения государственных (муниципальных) нужд)</t>
  </si>
  <si>
    <t>06 1 01 21970</t>
  </si>
  <si>
    <t>Выполнение работ по разработке и изготовлению баннеров на общественных территориях и территориях ТОС (Закупка товаров, работ и услуг для обеспечения государственных (муниципальных) нужд)</t>
  </si>
  <si>
    <t xml:space="preserve">Резервный фонд Администрации Южского муниципального района (Иные бюджетные ассигнования) </t>
  </si>
  <si>
    <t xml:space="preserve">03 2 01 20300 </t>
  </si>
  <si>
    <t>31 9 00 90510</t>
  </si>
  <si>
    <t>Оплата судебных расходов по делу № А17-8240/2021 (Иные бюджетные ассигнования)</t>
  </si>
  <si>
    <t>02 2 01 21960</t>
  </si>
  <si>
    <t>Выполнение работ по планировке общественной территории для размещения посадочной площадки для вертолета для целей оказания своевременной экстренной медицинской помощи населению (Закупка товаров, работ и услуг для обеспечения государственных (муниципальных) нужд)</t>
  </si>
  <si>
    <t>01 2 01 22020</t>
  </si>
  <si>
    <t>Выполнение рабочей проектно-сметной документации по ремонту части здания объекта культурного наследия местного (муниципального) значения "Народный дом", расположенного по адресу: Ивановская область, г. Южа, ул. Советская, д.9 (Предоставление субсидий бюджетным, автономным учреждениям и иным некоммерческим организациям)</t>
  </si>
  <si>
    <t>02 7 03 S3020</t>
  </si>
  <si>
    <t xml:space="preserve">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обеспечения государственных (муниципальных) нужд) </t>
  </si>
  <si>
    <t>31 9 00 90520</t>
  </si>
  <si>
    <t>Оплата административного штрафа (в соответствии с постановлением по делу об административном правонарушении от 17.05.2022 года, АД № 1308/22/37023-АП от 21.09.2022) (Иные бюджетные ассигнования)</t>
  </si>
  <si>
    <t>31 9 00 20600</t>
  </si>
  <si>
    <t xml:space="preserve">Средства на организацию приобретения новогодних подарков детям, родители которых работают в муниципальных учреждениях Южского городского поселения  (Предоставление субсидий бюджетным, автономным учреждениям и иным некоммерческим организациям) </t>
  </si>
  <si>
    <t>31 9 00 90530</t>
  </si>
  <si>
    <t>Оплата штрафа по постановлению должностного лица Управления ФСП по Ивановской области от 02.12.2022 года исполнительное производство № 38074/22/37025-ИП (Иные бюджетные ассигнования)</t>
  </si>
  <si>
    <t>Совет Южского городского поселения Южского муниципального района Ивановской области</t>
  </si>
  <si>
    <t>Утвержденные бюджетные назначения           (руб.)</t>
  </si>
  <si>
    <t>Процент испол-нения      (%)</t>
  </si>
  <si>
    <t>8</t>
  </si>
  <si>
    <t>Исполнено за 2022 год       (руб.)</t>
  </si>
  <si>
    <t>Приложение №2                                                              к решению Совета Южского городского поселения Южского муниципального района "Об утверждении отчёта об исполнении бюджета Южского городского поселения за 2022 год"                                                                от __________________№________</t>
  </si>
  <si>
    <t>Расходы бюджета Южского городского поселения по ведомственной структуре расходов бюджета за 2022 год</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</si>
</sst>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5">
    <font>
      <sz val="11"/>
      <color theme="1"/>
      <name val="Calibri"/>
      <family val="2"/>
    </font>
    <font>
      <sz val="11"/>
      <color indexed="8"/>
      <name val="Calibri"/>
      <family val="2"/>
    </font>
    <font>
      <sz val="14"/>
      <name val="Times New Roman"/>
      <family val="1"/>
    </font>
    <font>
      <b/>
      <sz val="14"/>
      <name val="Times New Roman"/>
      <family val="1"/>
    </font>
    <font>
      <i/>
      <sz val="10"/>
      <name val="Times New Roman"/>
      <family val="1"/>
    </font>
    <font>
      <i/>
      <sz val="10"/>
      <color indexed="56"/>
      <name val="Times New Roman"/>
      <family val="1"/>
    </font>
    <font>
      <i/>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35"/>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3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9.35"/>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3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45">
    <xf numFmtId="0" fontId="0" fillId="0" borderId="0" xfId="0" applyFont="1" applyAlignment="1">
      <alignment/>
    </xf>
    <xf numFmtId="0" fontId="2" fillId="33" borderId="0" xfId="0" applyFont="1" applyFill="1" applyAlignment="1">
      <alignment/>
    </xf>
    <xf numFmtId="0" fontId="2" fillId="33" borderId="0" xfId="0" applyFont="1" applyFill="1" applyAlignment="1">
      <alignment vertical="center"/>
    </xf>
    <xf numFmtId="49" fontId="6" fillId="33" borderId="10" xfId="0" applyNumberFormat="1" applyFont="1" applyFill="1" applyBorder="1" applyAlignment="1">
      <alignment horizontal="center" vertical="center" wrapText="1"/>
    </xf>
    <xf numFmtId="0" fontId="2" fillId="33" borderId="0" xfId="0" applyFont="1" applyFill="1" applyAlignment="1">
      <alignment vertical="top"/>
    </xf>
    <xf numFmtId="49" fontId="2" fillId="33" borderId="11"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xf>
    <xf numFmtId="0" fontId="2" fillId="33" borderId="0" xfId="0" applyFont="1" applyFill="1" applyAlignment="1">
      <alignment horizontal="center"/>
    </xf>
    <xf numFmtId="0" fontId="3" fillId="33" borderId="11" xfId="0" applyFont="1" applyFill="1" applyBorder="1" applyAlignment="1">
      <alignment horizontal="justify" vertical="center"/>
    </xf>
    <xf numFmtId="49" fontId="3" fillId="33" borderId="11" xfId="0" applyNumberFormat="1" applyFont="1" applyFill="1" applyBorder="1" applyAlignment="1">
      <alignment horizontal="center" vertical="center" wrapText="1"/>
    </xf>
    <xf numFmtId="4" fontId="3" fillId="33" borderId="11" xfId="0" applyNumberFormat="1" applyFont="1" applyFill="1" applyBorder="1" applyAlignment="1">
      <alignment horizontal="right" vertical="center"/>
    </xf>
    <xf numFmtId="0" fontId="3" fillId="33" borderId="0" xfId="0" applyFont="1" applyFill="1" applyAlignment="1">
      <alignment vertical="center"/>
    </xf>
    <xf numFmtId="0" fontId="2" fillId="33" borderId="11" xfId="0" applyNumberFormat="1" applyFont="1" applyFill="1" applyBorder="1" applyAlignment="1">
      <alignment horizontal="justify" vertical="top"/>
    </xf>
    <xf numFmtId="4" fontId="2" fillId="33" borderId="11" xfId="0" applyNumberFormat="1" applyFont="1" applyFill="1" applyBorder="1" applyAlignment="1">
      <alignment horizontal="right" vertical="center"/>
    </xf>
    <xf numFmtId="0" fontId="2" fillId="33" borderId="11" xfId="0" applyFont="1" applyFill="1" applyBorder="1" applyAlignment="1">
      <alignment horizontal="justify" vertical="top" wrapText="1"/>
    </xf>
    <xf numFmtId="0" fontId="2" fillId="33" borderId="11" xfId="0" applyFont="1" applyFill="1" applyBorder="1" applyAlignment="1">
      <alignment horizontal="center" vertical="center"/>
    </xf>
    <xf numFmtId="0" fontId="2" fillId="33" borderId="11" xfId="0" applyNumberFormat="1" applyFont="1" applyFill="1" applyBorder="1" applyAlignment="1">
      <alignment horizontal="justify" vertical="top" wrapText="1"/>
    </xf>
    <xf numFmtId="2" fontId="2" fillId="33" borderId="11" xfId="0" applyNumberFormat="1" applyFont="1" applyFill="1" applyBorder="1" applyAlignment="1">
      <alignment horizontal="justify" vertical="top" wrapText="1"/>
    </xf>
    <xf numFmtId="0" fontId="44" fillId="33" borderId="12" xfId="0" applyFont="1" applyFill="1" applyBorder="1" applyAlignment="1">
      <alignment horizontal="center" vertical="center"/>
    </xf>
    <xf numFmtId="4" fontId="2" fillId="33" borderId="0" xfId="0" applyNumberFormat="1" applyFont="1" applyFill="1" applyAlignment="1">
      <alignment vertical="center"/>
    </xf>
    <xf numFmtId="0" fontId="2" fillId="33" borderId="11" xfId="0" applyFont="1" applyFill="1" applyBorder="1" applyAlignment="1">
      <alignment horizontal="justify" vertical="center" wrapText="1"/>
    </xf>
    <xf numFmtId="0" fontId="3" fillId="33" borderId="11" xfId="0" applyFont="1" applyFill="1" applyBorder="1" applyAlignment="1">
      <alignment horizontal="justify" vertical="center" wrapText="1"/>
    </xf>
    <xf numFmtId="0" fontId="3" fillId="33" borderId="11" xfId="0" applyFont="1" applyFill="1" applyBorder="1" applyAlignment="1">
      <alignment horizontal="center" vertical="center"/>
    </xf>
    <xf numFmtId="49" fontId="3" fillId="33" borderId="11" xfId="0" applyNumberFormat="1" applyFont="1" applyFill="1" applyBorder="1" applyAlignment="1">
      <alignment horizontal="center" vertical="center"/>
    </xf>
    <xf numFmtId="0" fontId="3" fillId="33" borderId="11" xfId="0" applyFont="1" applyFill="1" applyBorder="1" applyAlignment="1">
      <alignment horizontal="justify" vertical="top" wrapText="1"/>
    </xf>
    <xf numFmtId="0" fontId="3" fillId="33" borderId="0" xfId="0" applyFont="1" applyFill="1" applyAlignment="1">
      <alignment/>
    </xf>
    <xf numFmtId="4" fontId="3" fillId="33" borderId="11" xfId="0" applyNumberFormat="1" applyFont="1" applyFill="1" applyBorder="1" applyAlignment="1">
      <alignment horizontal="right" vertical="center" wrapText="1"/>
    </xf>
    <xf numFmtId="4" fontId="2" fillId="33" borderId="11" xfId="0" applyNumberFormat="1" applyFont="1" applyFill="1" applyBorder="1" applyAlignment="1">
      <alignment horizontal="right" vertical="center" wrapText="1"/>
    </xf>
    <xf numFmtId="49" fontId="3" fillId="33" borderId="0" xfId="0" applyNumberFormat="1" applyFont="1" applyFill="1" applyBorder="1" applyAlignment="1">
      <alignment horizontal="left" vertical="center" wrapText="1"/>
    </xf>
    <xf numFmtId="4" fontId="2" fillId="33" borderId="0" xfId="0" applyNumberFormat="1" applyFont="1" applyFill="1" applyBorder="1" applyAlignment="1">
      <alignment horizontal="right" vertical="center"/>
    </xf>
    <xf numFmtId="49" fontId="2" fillId="33" borderId="0" xfId="0" applyNumberFormat="1" applyFont="1" applyFill="1" applyAlignment="1">
      <alignment horizontal="center" vertical="center"/>
    </xf>
    <xf numFmtId="4" fontId="3" fillId="33" borderId="11" xfId="0" applyNumberFormat="1" applyFont="1" applyFill="1" applyBorder="1" applyAlignment="1">
      <alignment vertical="center"/>
    </xf>
    <xf numFmtId="4" fontId="2" fillId="33" borderId="11" xfId="0" applyNumberFormat="1" applyFont="1" applyFill="1" applyBorder="1" applyAlignment="1">
      <alignment vertical="center"/>
    </xf>
    <xf numFmtId="49" fontId="2" fillId="0" borderId="11"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textRotation="90" wrapText="1"/>
    </xf>
    <xf numFmtId="49" fontId="2" fillId="0" borderId="11" xfId="0" applyNumberFormat="1" applyFont="1" applyFill="1" applyBorder="1" applyAlignment="1">
      <alignment horizontal="center" vertical="top" wrapText="1"/>
    </xf>
    <xf numFmtId="0" fontId="2" fillId="0" borderId="11" xfId="0" applyFont="1" applyFill="1" applyBorder="1" applyAlignment="1">
      <alignment horizontal="center"/>
    </xf>
    <xf numFmtId="0" fontId="2" fillId="0" borderId="0" xfId="0" applyFont="1" applyFill="1" applyAlignment="1">
      <alignment wrapText="1"/>
    </xf>
    <xf numFmtId="0" fontId="0" fillId="0" borderId="0" xfId="0" applyAlignment="1">
      <alignment wrapText="1"/>
    </xf>
    <xf numFmtId="0" fontId="2" fillId="0" borderId="0" xfId="0" applyFont="1" applyFill="1" applyAlignment="1">
      <alignment horizontal="right" wrapText="1"/>
    </xf>
    <xf numFmtId="0" fontId="3" fillId="0" borderId="0" xfId="0" applyFont="1" applyFill="1" applyAlignment="1">
      <alignment horizontal="center" vertical="center"/>
    </xf>
    <xf numFmtId="49" fontId="3" fillId="33" borderId="13" xfId="0" applyNumberFormat="1" applyFont="1" applyFill="1" applyBorder="1" applyAlignment="1">
      <alignment horizontal="left" vertical="center" wrapText="1"/>
    </xf>
    <xf numFmtId="49" fontId="3" fillId="33" borderId="14"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wrapText="1"/>
    </xf>
    <xf numFmtId="0" fontId="2" fillId="0" borderId="0" xfId="0" applyFont="1" applyFill="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10"/>
  <sheetViews>
    <sheetView tabSelected="1" zoomScale="85" zoomScaleNormal="85" zoomScalePageLayoutView="0" workbookViewId="0" topLeftCell="A2">
      <selection activeCell="A14" sqref="A14"/>
    </sheetView>
  </sheetViews>
  <sheetFormatPr defaultColWidth="9.140625" defaultRowHeight="15"/>
  <cols>
    <col min="1" max="1" width="74.421875" style="1" customWidth="1"/>
    <col min="2" max="2" width="6.7109375" style="30" customWidth="1"/>
    <col min="3" max="3" width="5.28125" style="30" customWidth="1"/>
    <col min="4" max="4" width="6.00390625" style="30" customWidth="1"/>
    <col min="5" max="5" width="18.140625" style="30" customWidth="1"/>
    <col min="6" max="6" width="5.7109375" style="30" customWidth="1"/>
    <col min="7" max="7" width="22.421875" style="30" customWidth="1"/>
    <col min="8" max="8" width="21.140625" style="1" customWidth="1"/>
    <col min="9" max="9" width="12.28125" style="1" customWidth="1"/>
    <col min="10" max="10" width="9.140625" style="1" customWidth="1"/>
    <col min="11" max="11" width="13.140625" style="1" customWidth="1"/>
    <col min="12" max="16384" width="9.140625" style="1" customWidth="1"/>
  </cols>
  <sheetData>
    <row r="1" spans="1:9" ht="1.5" customHeight="1" hidden="1">
      <c r="A1" s="44"/>
      <c r="B1" s="44"/>
      <c r="C1" s="44"/>
      <c r="D1" s="44"/>
      <c r="E1" s="44"/>
      <c r="F1" s="44"/>
      <c r="G1" s="44"/>
      <c r="H1" s="44"/>
      <c r="I1" s="44"/>
    </row>
    <row r="2" spans="1:9" ht="108.75" customHeight="1">
      <c r="A2" s="37"/>
      <c r="B2" s="37"/>
      <c r="C2" s="37"/>
      <c r="D2" s="37"/>
      <c r="E2" s="37"/>
      <c r="F2" s="39" t="s">
        <v>253</v>
      </c>
      <c r="G2" s="39"/>
      <c r="H2" s="39"/>
      <c r="I2" s="39"/>
    </row>
    <row r="3" spans="1:9" ht="46.5" customHeight="1" hidden="1">
      <c r="A3" s="38"/>
      <c r="B3" s="38"/>
      <c r="C3" s="38"/>
      <c r="D3" s="38"/>
      <c r="E3" s="38"/>
      <c r="F3" s="38"/>
      <c r="G3" s="38"/>
      <c r="H3" s="38"/>
      <c r="I3" s="38"/>
    </row>
    <row r="4" spans="1:9" ht="13.5" customHeight="1" hidden="1">
      <c r="A4" s="38"/>
      <c r="B4" s="38"/>
      <c r="C4" s="38"/>
      <c r="D4" s="38"/>
      <c r="E4" s="38"/>
      <c r="F4" s="38"/>
      <c r="G4" s="38"/>
      <c r="H4" s="38"/>
      <c r="I4" s="38"/>
    </row>
    <row r="5" spans="1:9" ht="28.5" customHeight="1" hidden="1">
      <c r="A5" s="38"/>
      <c r="B5" s="38"/>
      <c r="C5" s="38"/>
      <c r="D5" s="38"/>
      <c r="E5" s="38"/>
      <c r="F5" s="38"/>
      <c r="G5" s="38"/>
      <c r="H5" s="38"/>
      <c r="I5" s="38"/>
    </row>
    <row r="6" spans="1:9" ht="6" customHeight="1" hidden="1">
      <c r="A6" s="38"/>
      <c r="B6" s="38"/>
      <c r="C6" s="38"/>
      <c r="D6" s="38"/>
      <c r="E6" s="38"/>
      <c r="F6" s="38"/>
      <c r="G6" s="38"/>
      <c r="H6" s="38"/>
      <c r="I6" s="38"/>
    </row>
    <row r="7" spans="1:9" ht="33" customHeight="1" hidden="1">
      <c r="A7" s="38"/>
      <c r="B7" s="38"/>
      <c r="C7" s="38"/>
      <c r="D7" s="38"/>
      <c r="E7" s="38"/>
      <c r="F7" s="38"/>
      <c r="G7" s="38"/>
      <c r="H7" s="38"/>
      <c r="I7" s="38"/>
    </row>
    <row r="8" spans="1:9" ht="12.75" customHeight="1" hidden="1">
      <c r="A8" s="38"/>
      <c r="B8" s="38"/>
      <c r="C8" s="38"/>
      <c r="D8" s="38"/>
      <c r="E8" s="38"/>
      <c r="F8" s="38"/>
      <c r="G8" s="38"/>
      <c r="H8" s="38"/>
      <c r="I8" s="38"/>
    </row>
    <row r="9" spans="1:9" ht="64.5" customHeight="1">
      <c r="A9" s="40" t="s">
        <v>254</v>
      </c>
      <c r="B9" s="40"/>
      <c r="C9" s="40"/>
      <c r="D9" s="40"/>
      <c r="E9" s="40"/>
      <c r="F9" s="40"/>
      <c r="G9" s="40"/>
      <c r="H9" s="40"/>
      <c r="I9" s="40"/>
    </row>
    <row r="10" spans="1:8" s="4" customFormat="1" ht="13.5" customHeight="1" hidden="1">
      <c r="A10" s="3"/>
      <c r="B10" s="3"/>
      <c r="C10" s="3"/>
      <c r="D10" s="3"/>
      <c r="E10" s="3"/>
      <c r="F10" s="3"/>
      <c r="G10" s="3"/>
      <c r="H10" s="3"/>
    </row>
    <row r="11" spans="1:9" ht="54" customHeight="1">
      <c r="A11" s="33" t="s">
        <v>70</v>
      </c>
      <c r="B11" s="34" t="s">
        <v>71</v>
      </c>
      <c r="C11" s="34" t="s">
        <v>72</v>
      </c>
      <c r="D11" s="34" t="s">
        <v>73</v>
      </c>
      <c r="E11" s="33" t="s">
        <v>74</v>
      </c>
      <c r="F11" s="33" t="s">
        <v>75</v>
      </c>
      <c r="G11" s="33" t="s">
        <v>249</v>
      </c>
      <c r="H11" s="33" t="s">
        <v>252</v>
      </c>
      <c r="I11" s="33" t="s">
        <v>250</v>
      </c>
    </row>
    <row r="12" spans="1:9" s="7" customFormat="1" ht="18.75">
      <c r="A12" s="35" t="s">
        <v>0</v>
      </c>
      <c r="B12" s="33" t="s">
        <v>1</v>
      </c>
      <c r="C12" s="33" t="s">
        <v>2</v>
      </c>
      <c r="D12" s="33" t="s">
        <v>3</v>
      </c>
      <c r="E12" s="33" t="s">
        <v>4</v>
      </c>
      <c r="F12" s="33" t="s">
        <v>5</v>
      </c>
      <c r="G12" s="36">
        <v>7</v>
      </c>
      <c r="H12" s="33" t="s">
        <v>251</v>
      </c>
      <c r="I12" s="36">
        <v>9</v>
      </c>
    </row>
    <row r="13" spans="1:9" s="11" customFormat="1" ht="27" customHeight="1">
      <c r="A13" s="8" t="s">
        <v>22</v>
      </c>
      <c r="B13" s="9" t="s">
        <v>6</v>
      </c>
      <c r="C13" s="9" t="s">
        <v>7</v>
      </c>
      <c r="D13" s="9" t="s">
        <v>7</v>
      </c>
      <c r="E13" s="9" t="s">
        <v>8</v>
      </c>
      <c r="F13" s="9" t="s">
        <v>9</v>
      </c>
      <c r="G13" s="10">
        <f>SUM(G14:G93)</f>
        <v>136470824.54</v>
      </c>
      <c r="H13" s="10">
        <f>SUM(H14:H93)</f>
        <v>127612665.42</v>
      </c>
      <c r="I13" s="31">
        <f>H13/G13*100</f>
        <v>93.50911878061993</v>
      </c>
    </row>
    <row r="14" spans="1:9" s="11" customFormat="1" ht="114" customHeight="1">
      <c r="A14" s="12" t="s">
        <v>143</v>
      </c>
      <c r="B14" s="5" t="s">
        <v>6</v>
      </c>
      <c r="C14" s="5" t="s">
        <v>10</v>
      </c>
      <c r="D14" s="5" t="s">
        <v>104</v>
      </c>
      <c r="E14" s="5" t="s">
        <v>144</v>
      </c>
      <c r="F14" s="5" t="s">
        <v>145</v>
      </c>
      <c r="G14" s="13">
        <f>3600</f>
        <v>3600</v>
      </c>
      <c r="H14" s="13">
        <v>3600</v>
      </c>
      <c r="I14" s="32">
        <f aca="true" t="shared" si="0" ref="I14:I77">H14/G14*100</f>
        <v>100</v>
      </c>
    </row>
    <row r="15" spans="1:9" s="11" customFormat="1" ht="42" customHeight="1">
      <c r="A15" s="14" t="s">
        <v>232</v>
      </c>
      <c r="B15" s="5" t="s">
        <v>6</v>
      </c>
      <c r="C15" s="5" t="s">
        <v>10</v>
      </c>
      <c r="D15" s="5" t="s">
        <v>14</v>
      </c>
      <c r="E15" s="15" t="s">
        <v>233</v>
      </c>
      <c r="F15" s="5" t="s">
        <v>103</v>
      </c>
      <c r="G15" s="13">
        <f>260000-220000-14763</f>
        <v>25237</v>
      </c>
      <c r="H15" s="13">
        <v>0</v>
      </c>
      <c r="I15" s="32">
        <f t="shared" si="0"/>
        <v>0</v>
      </c>
    </row>
    <row r="16" spans="1:9" s="2" customFormat="1" ht="132.75" customHeight="1">
      <c r="A16" s="16" t="s">
        <v>64</v>
      </c>
      <c r="B16" s="5" t="s">
        <v>6</v>
      </c>
      <c r="C16" s="5" t="s">
        <v>10</v>
      </c>
      <c r="D16" s="5" t="s">
        <v>15</v>
      </c>
      <c r="E16" s="15" t="s">
        <v>30</v>
      </c>
      <c r="F16" s="15">
        <v>600</v>
      </c>
      <c r="G16" s="13">
        <f>100000</f>
        <v>100000</v>
      </c>
      <c r="H16" s="13">
        <v>100000</v>
      </c>
      <c r="I16" s="32">
        <f t="shared" si="0"/>
        <v>100</v>
      </c>
    </row>
    <row r="17" spans="1:9" s="2" customFormat="1" ht="113.25" customHeight="1">
      <c r="A17" s="16" t="s">
        <v>66</v>
      </c>
      <c r="B17" s="6" t="s">
        <v>6</v>
      </c>
      <c r="C17" s="5" t="s">
        <v>10</v>
      </c>
      <c r="D17" s="5" t="s">
        <v>15</v>
      </c>
      <c r="E17" s="15" t="s">
        <v>68</v>
      </c>
      <c r="F17" s="15">
        <v>100</v>
      </c>
      <c r="G17" s="13">
        <f>3841165.93-21613.27-6527.2+171853.71+12659.36+74088.07</f>
        <v>4071626.5999999996</v>
      </c>
      <c r="H17" s="13">
        <v>4060977.07</v>
      </c>
      <c r="I17" s="32">
        <f t="shared" si="0"/>
        <v>99.73844531814386</v>
      </c>
    </row>
    <row r="18" spans="1:9" s="2" customFormat="1" ht="75" customHeight="1">
      <c r="A18" s="14" t="s">
        <v>67</v>
      </c>
      <c r="B18" s="6" t="s">
        <v>6</v>
      </c>
      <c r="C18" s="5" t="s">
        <v>10</v>
      </c>
      <c r="D18" s="5" t="s">
        <v>15</v>
      </c>
      <c r="E18" s="15" t="s">
        <v>68</v>
      </c>
      <c r="F18" s="15">
        <v>200</v>
      </c>
      <c r="G18" s="13">
        <f>125278-23958.67+30000-5000</f>
        <v>126319.33000000002</v>
      </c>
      <c r="H18" s="13">
        <v>119132.96</v>
      </c>
      <c r="I18" s="32">
        <f t="shared" si="0"/>
        <v>94.31094987600076</v>
      </c>
    </row>
    <row r="19" spans="1:9" s="2" customFormat="1" ht="78.75" customHeight="1">
      <c r="A19" s="17" t="s">
        <v>98</v>
      </c>
      <c r="B19" s="5" t="s">
        <v>6</v>
      </c>
      <c r="C19" s="5" t="s">
        <v>10</v>
      </c>
      <c r="D19" s="5" t="s">
        <v>15</v>
      </c>
      <c r="E19" s="15" t="s">
        <v>78</v>
      </c>
      <c r="F19" s="15">
        <v>200</v>
      </c>
      <c r="G19" s="13">
        <f>200000-30147.01-8795.31-11057.68</f>
        <v>150000</v>
      </c>
      <c r="H19" s="13">
        <v>74000</v>
      </c>
      <c r="I19" s="32">
        <f t="shared" si="0"/>
        <v>49.333333333333336</v>
      </c>
    </row>
    <row r="20" spans="1:9" s="2" customFormat="1" ht="78.75" customHeight="1">
      <c r="A20" s="14" t="s">
        <v>209</v>
      </c>
      <c r="B20" s="5" t="s">
        <v>6</v>
      </c>
      <c r="C20" s="5" t="s">
        <v>10</v>
      </c>
      <c r="D20" s="5" t="s">
        <v>15</v>
      </c>
      <c r="E20" s="15" t="s">
        <v>208</v>
      </c>
      <c r="F20" s="15">
        <v>800</v>
      </c>
      <c r="G20" s="13">
        <f>50000</f>
        <v>50000</v>
      </c>
      <c r="H20" s="13">
        <v>50000</v>
      </c>
      <c r="I20" s="32">
        <f t="shared" si="0"/>
        <v>100</v>
      </c>
    </row>
    <row r="21" spans="1:9" s="2" customFormat="1" ht="63" customHeight="1">
      <c r="A21" s="14" t="s">
        <v>214</v>
      </c>
      <c r="B21" s="5" t="s">
        <v>6</v>
      </c>
      <c r="C21" s="5" t="s">
        <v>10</v>
      </c>
      <c r="D21" s="5" t="s">
        <v>15</v>
      </c>
      <c r="E21" s="15" t="s">
        <v>213</v>
      </c>
      <c r="F21" s="15">
        <v>800</v>
      </c>
      <c r="G21" s="13">
        <f>30000</f>
        <v>30000</v>
      </c>
      <c r="H21" s="13">
        <v>30000</v>
      </c>
      <c r="I21" s="32">
        <f t="shared" si="0"/>
        <v>100</v>
      </c>
    </row>
    <row r="22" spans="1:9" s="2" customFormat="1" ht="42.75" customHeight="1">
      <c r="A22" s="14" t="s">
        <v>235</v>
      </c>
      <c r="B22" s="5" t="s">
        <v>6</v>
      </c>
      <c r="C22" s="5" t="s">
        <v>10</v>
      </c>
      <c r="D22" s="5" t="s">
        <v>15</v>
      </c>
      <c r="E22" s="18" t="s">
        <v>234</v>
      </c>
      <c r="F22" s="15">
        <v>800</v>
      </c>
      <c r="G22" s="13">
        <f>6000</f>
        <v>6000</v>
      </c>
      <c r="H22" s="13">
        <v>0</v>
      </c>
      <c r="I22" s="32">
        <f t="shared" si="0"/>
        <v>0</v>
      </c>
    </row>
    <row r="23" spans="1:9" s="2" customFormat="1" ht="79.5" customHeight="1">
      <c r="A23" s="14" t="s">
        <v>243</v>
      </c>
      <c r="B23" s="5" t="s">
        <v>6</v>
      </c>
      <c r="C23" s="5" t="s">
        <v>10</v>
      </c>
      <c r="D23" s="5" t="s">
        <v>15</v>
      </c>
      <c r="E23" s="18" t="s">
        <v>242</v>
      </c>
      <c r="F23" s="15">
        <v>800</v>
      </c>
      <c r="G23" s="13">
        <v>50000</v>
      </c>
      <c r="H23" s="13">
        <v>50000</v>
      </c>
      <c r="I23" s="32">
        <f t="shared" si="0"/>
        <v>100</v>
      </c>
    </row>
    <row r="24" spans="1:9" s="2" customFormat="1" ht="79.5" customHeight="1">
      <c r="A24" s="14" t="s">
        <v>247</v>
      </c>
      <c r="B24" s="5" t="s">
        <v>6</v>
      </c>
      <c r="C24" s="5" t="s">
        <v>10</v>
      </c>
      <c r="D24" s="5" t="s">
        <v>15</v>
      </c>
      <c r="E24" s="18" t="s">
        <v>246</v>
      </c>
      <c r="F24" s="15">
        <v>800</v>
      </c>
      <c r="G24" s="13">
        <f>30000</f>
        <v>30000</v>
      </c>
      <c r="H24" s="13">
        <v>30000</v>
      </c>
      <c r="I24" s="32">
        <f t="shared" si="0"/>
        <v>100</v>
      </c>
    </row>
    <row r="25" spans="1:9" s="2" customFormat="1" ht="116.25" customHeight="1">
      <c r="A25" s="17" t="s">
        <v>40</v>
      </c>
      <c r="B25" s="5" t="s">
        <v>6</v>
      </c>
      <c r="C25" s="5" t="s">
        <v>18</v>
      </c>
      <c r="D25" s="5" t="s">
        <v>17</v>
      </c>
      <c r="E25" s="15" t="s">
        <v>41</v>
      </c>
      <c r="F25" s="15">
        <v>200</v>
      </c>
      <c r="G25" s="13">
        <f>12000+1500+16500+150000-150000-12000</f>
        <v>18000</v>
      </c>
      <c r="H25" s="13">
        <v>12000</v>
      </c>
      <c r="I25" s="32">
        <f t="shared" si="0"/>
        <v>66.66666666666666</v>
      </c>
    </row>
    <row r="26" spans="1:9" s="2" customFormat="1" ht="76.5" customHeight="1">
      <c r="A26" s="16" t="s">
        <v>42</v>
      </c>
      <c r="B26" s="6" t="s">
        <v>6</v>
      </c>
      <c r="C26" s="5" t="s">
        <v>18</v>
      </c>
      <c r="D26" s="5" t="s">
        <v>20</v>
      </c>
      <c r="E26" s="15" t="s">
        <v>43</v>
      </c>
      <c r="F26" s="15">
        <v>200</v>
      </c>
      <c r="G26" s="13">
        <f>261500-20000+18560</f>
        <v>260060</v>
      </c>
      <c r="H26" s="13">
        <v>260060</v>
      </c>
      <c r="I26" s="32">
        <f t="shared" si="0"/>
        <v>100</v>
      </c>
    </row>
    <row r="27" spans="1:9" s="2" customFormat="1" ht="76.5" customHeight="1">
      <c r="A27" s="17" t="s">
        <v>97</v>
      </c>
      <c r="B27" s="5" t="s">
        <v>6</v>
      </c>
      <c r="C27" s="5" t="s">
        <v>18</v>
      </c>
      <c r="D27" s="5" t="s">
        <v>39</v>
      </c>
      <c r="E27" s="15" t="s">
        <v>88</v>
      </c>
      <c r="F27" s="15">
        <v>200</v>
      </c>
      <c r="G27" s="13">
        <f>200000-17495.95</f>
        <v>182504.05</v>
      </c>
      <c r="H27" s="13">
        <v>182504.05</v>
      </c>
      <c r="I27" s="32">
        <f t="shared" si="0"/>
        <v>100</v>
      </c>
    </row>
    <row r="28" spans="1:9" s="2" customFormat="1" ht="113.25" customHeight="1">
      <c r="A28" s="17" t="s">
        <v>115</v>
      </c>
      <c r="B28" s="5" t="s">
        <v>6</v>
      </c>
      <c r="C28" s="5" t="s">
        <v>12</v>
      </c>
      <c r="D28" s="5" t="s">
        <v>17</v>
      </c>
      <c r="E28" s="15" t="s">
        <v>116</v>
      </c>
      <c r="F28" s="15">
        <v>200</v>
      </c>
      <c r="G28" s="13">
        <f>1900892.62-1893789.48+605945+58957.99+204812.42+30000-89752.07+753842.4-75573.25</f>
        <v>1495335.6300000004</v>
      </c>
      <c r="H28" s="13">
        <v>1495335.63</v>
      </c>
      <c r="I28" s="32">
        <f t="shared" si="0"/>
        <v>99.99999999999997</v>
      </c>
    </row>
    <row r="29" spans="1:9" s="2" customFormat="1" ht="113.25" customHeight="1">
      <c r="A29" s="17" t="s">
        <v>129</v>
      </c>
      <c r="B29" s="5" t="s">
        <v>6</v>
      </c>
      <c r="C29" s="5" t="s">
        <v>12</v>
      </c>
      <c r="D29" s="5" t="s">
        <v>17</v>
      </c>
      <c r="E29" s="15" t="s">
        <v>130</v>
      </c>
      <c r="F29" s="15">
        <v>200</v>
      </c>
      <c r="G29" s="13">
        <f>328000+134000+30000+100000+600000+328333.33+120000-27960+40000</f>
        <v>1652373.33</v>
      </c>
      <c r="H29" s="13">
        <v>1329544.08</v>
      </c>
      <c r="I29" s="32">
        <f t="shared" si="0"/>
        <v>80.4626930162326</v>
      </c>
    </row>
    <row r="30" spans="1:9" s="2" customFormat="1" ht="77.25" customHeight="1">
      <c r="A30" s="16" t="s">
        <v>131</v>
      </c>
      <c r="B30" s="5" t="s">
        <v>6</v>
      </c>
      <c r="C30" s="5" t="s">
        <v>12</v>
      </c>
      <c r="D30" s="5" t="s">
        <v>17</v>
      </c>
      <c r="E30" s="15" t="s">
        <v>132</v>
      </c>
      <c r="F30" s="15">
        <v>200</v>
      </c>
      <c r="G30" s="13">
        <f>1169822.9+817677.1+192500-677.1</f>
        <v>2179322.9</v>
      </c>
      <c r="H30" s="13">
        <v>2179322.9</v>
      </c>
      <c r="I30" s="32">
        <f t="shared" si="0"/>
        <v>100</v>
      </c>
    </row>
    <row r="31" spans="1:9" s="2" customFormat="1" ht="80.25" customHeight="1">
      <c r="A31" s="16" t="s">
        <v>117</v>
      </c>
      <c r="B31" s="6" t="s">
        <v>6</v>
      </c>
      <c r="C31" s="5" t="s">
        <v>12</v>
      </c>
      <c r="D31" s="5" t="s">
        <v>17</v>
      </c>
      <c r="E31" s="15" t="s">
        <v>118</v>
      </c>
      <c r="F31" s="15">
        <v>200</v>
      </c>
      <c r="G31" s="13">
        <f>80000+654800-431800</f>
        <v>303000</v>
      </c>
      <c r="H31" s="13">
        <v>302624.54</v>
      </c>
      <c r="I31" s="32">
        <f t="shared" si="0"/>
        <v>99.87608580858085</v>
      </c>
    </row>
    <row r="32" spans="1:9" s="2" customFormat="1" ht="225" customHeight="1">
      <c r="A32" s="16" t="s">
        <v>111</v>
      </c>
      <c r="B32" s="6" t="s">
        <v>6</v>
      </c>
      <c r="C32" s="5" t="s">
        <v>12</v>
      </c>
      <c r="D32" s="5" t="s">
        <v>17</v>
      </c>
      <c r="E32" s="15" t="s">
        <v>112</v>
      </c>
      <c r="F32" s="15">
        <v>200</v>
      </c>
      <c r="G32" s="13">
        <f>11950000-2806302.4-705357.6+201578.54+74276.69-74276.69+220831.2</f>
        <v>8860749.739999998</v>
      </c>
      <c r="H32" s="13">
        <v>8860749.74</v>
      </c>
      <c r="I32" s="32">
        <f t="shared" si="0"/>
        <v>100.00000000000003</v>
      </c>
    </row>
    <row r="33" spans="1:9" s="2" customFormat="1" ht="78" customHeight="1">
      <c r="A33" s="16" t="s">
        <v>113</v>
      </c>
      <c r="B33" s="6" t="s">
        <v>6</v>
      </c>
      <c r="C33" s="5" t="s">
        <v>12</v>
      </c>
      <c r="D33" s="5" t="s">
        <v>17</v>
      </c>
      <c r="E33" s="15" t="s">
        <v>114</v>
      </c>
      <c r="F33" s="15">
        <v>200</v>
      </c>
      <c r="G33" s="13">
        <f>1777965.33+23958.67+175834.18-175834.18</f>
        <v>1801924</v>
      </c>
      <c r="H33" s="13">
        <v>1801924</v>
      </c>
      <c r="I33" s="32">
        <f t="shared" si="0"/>
        <v>100</v>
      </c>
    </row>
    <row r="34" spans="1:9" s="2" customFormat="1" ht="97.5" customHeight="1">
      <c r="A34" s="16" t="s">
        <v>227</v>
      </c>
      <c r="B34" s="6" t="s">
        <v>6</v>
      </c>
      <c r="C34" s="5" t="s">
        <v>12</v>
      </c>
      <c r="D34" s="5" t="s">
        <v>17</v>
      </c>
      <c r="E34" s="15" t="s">
        <v>133</v>
      </c>
      <c r="F34" s="15">
        <v>400</v>
      </c>
      <c r="G34" s="13">
        <f>1738086+307043</f>
        <v>2045129</v>
      </c>
      <c r="H34" s="13">
        <v>0</v>
      </c>
      <c r="I34" s="32">
        <f t="shared" si="0"/>
        <v>0</v>
      </c>
    </row>
    <row r="35" spans="1:9" s="2" customFormat="1" ht="97.5" customHeight="1">
      <c r="A35" s="16" t="s">
        <v>198</v>
      </c>
      <c r="B35" s="6" t="s">
        <v>6</v>
      </c>
      <c r="C35" s="5" t="s">
        <v>12</v>
      </c>
      <c r="D35" s="5" t="s">
        <v>17</v>
      </c>
      <c r="E35" s="15" t="s">
        <v>134</v>
      </c>
      <c r="F35" s="15">
        <v>400</v>
      </c>
      <c r="G35" s="13">
        <f>3743650-605815.25-432463.61</f>
        <v>2705371.14</v>
      </c>
      <c r="H35" s="13">
        <v>0</v>
      </c>
      <c r="I35" s="32">
        <f t="shared" si="0"/>
        <v>0</v>
      </c>
    </row>
    <row r="36" spans="1:9" s="2" customFormat="1" ht="97.5" customHeight="1">
      <c r="A36" s="16" t="s">
        <v>159</v>
      </c>
      <c r="B36" s="6" t="s">
        <v>6</v>
      </c>
      <c r="C36" s="5" t="s">
        <v>12</v>
      </c>
      <c r="D36" s="5" t="s">
        <v>17</v>
      </c>
      <c r="E36" s="15" t="s">
        <v>158</v>
      </c>
      <c r="F36" s="15">
        <v>200</v>
      </c>
      <c r="G36" s="13">
        <f>150000</f>
        <v>150000</v>
      </c>
      <c r="H36" s="13">
        <v>150000</v>
      </c>
      <c r="I36" s="32">
        <f t="shared" si="0"/>
        <v>100</v>
      </c>
    </row>
    <row r="37" spans="1:9" s="2" customFormat="1" ht="76.5" customHeight="1">
      <c r="A37" s="16" t="s">
        <v>197</v>
      </c>
      <c r="B37" s="6" t="s">
        <v>6</v>
      </c>
      <c r="C37" s="5" t="s">
        <v>12</v>
      </c>
      <c r="D37" s="5" t="s">
        <v>17</v>
      </c>
      <c r="E37" s="15" t="s">
        <v>190</v>
      </c>
      <c r="F37" s="15">
        <v>200</v>
      </c>
      <c r="G37" s="13">
        <f>430434-2152.17</f>
        <v>428281.83</v>
      </c>
      <c r="H37" s="13">
        <v>428281.83</v>
      </c>
      <c r="I37" s="32">
        <f t="shared" si="0"/>
        <v>100</v>
      </c>
    </row>
    <row r="38" spans="1:9" s="2" customFormat="1" ht="97.5" customHeight="1">
      <c r="A38" s="16" t="s">
        <v>211</v>
      </c>
      <c r="B38" s="6" t="s">
        <v>6</v>
      </c>
      <c r="C38" s="5" t="s">
        <v>12</v>
      </c>
      <c r="D38" s="5" t="s">
        <v>17</v>
      </c>
      <c r="E38" s="15" t="s">
        <v>210</v>
      </c>
      <c r="F38" s="15">
        <v>200</v>
      </c>
      <c r="G38" s="13">
        <f>124532</f>
        <v>124532</v>
      </c>
      <c r="H38" s="13">
        <v>124532</v>
      </c>
      <c r="I38" s="32">
        <f t="shared" si="0"/>
        <v>100</v>
      </c>
    </row>
    <row r="39" spans="1:9" s="2" customFormat="1" ht="135" customHeight="1">
      <c r="A39" s="16" t="s">
        <v>102</v>
      </c>
      <c r="B39" s="6" t="s">
        <v>6</v>
      </c>
      <c r="C39" s="5" t="s">
        <v>12</v>
      </c>
      <c r="D39" s="5" t="s">
        <v>17</v>
      </c>
      <c r="E39" s="15" t="s">
        <v>101</v>
      </c>
      <c r="F39" s="15">
        <v>200</v>
      </c>
      <c r="G39" s="13">
        <f>3668511.18</f>
        <v>3668511.18</v>
      </c>
      <c r="H39" s="13">
        <v>3627501.62</v>
      </c>
      <c r="I39" s="32">
        <f t="shared" si="0"/>
        <v>98.88211980316221</v>
      </c>
    </row>
    <row r="40" spans="1:9" s="2" customFormat="1" ht="79.5" customHeight="1">
      <c r="A40" s="14" t="s">
        <v>187</v>
      </c>
      <c r="B40" s="6" t="s">
        <v>6</v>
      </c>
      <c r="C40" s="5" t="s">
        <v>12</v>
      </c>
      <c r="D40" s="5" t="s">
        <v>17</v>
      </c>
      <c r="E40" s="15" t="s">
        <v>188</v>
      </c>
      <c r="F40" s="15">
        <v>200</v>
      </c>
      <c r="G40" s="13">
        <f>37875789.6</f>
        <v>37875789.6</v>
      </c>
      <c r="H40" s="13">
        <v>34955702.4</v>
      </c>
      <c r="I40" s="32">
        <f t="shared" si="0"/>
        <v>92.29035953880152</v>
      </c>
    </row>
    <row r="41" spans="1:9" s="2" customFormat="1" ht="57.75" customHeight="1">
      <c r="A41" s="16" t="s">
        <v>46</v>
      </c>
      <c r="B41" s="6" t="s">
        <v>6</v>
      </c>
      <c r="C41" s="5" t="s">
        <v>12</v>
      </c>
      <c r="D41" s="5" t="s">
        <v>17</v>
      </c>
      <c r="E41" s="15" t="s">
        <v>47</v>
      </c>
      <c r="F41" s="15">
        <v>200</v>
      </c>
      <c r="G41" s="13">
        <f>389044+149987.62</f>
        <v>539031.62</v>
      </c>
      <c r="H41" s="13">
        <v>469905.37</v>
      </c>
      <c r="I41" s="32">
        <f t="shared" si="0"/>
        <v>87.17584508307694</v>
      </c>
    </row>
    <row r="42" spans="1:9" s="2" customFormat="1" ht="57.75" customHeight="1">
      <c r="A42" s="16" t="s">
        <v>100</v>
      </c>
      <c r="B42" s="6" t="s">
        <v>6</v>
      </c>
      <c r="C42" s="5" t="s">
        <v>12</v>
      </c>
      <c r="D42" s="5" t="s">
        <v>17</v>
      </c>
      <c r="E42" s="15" t="s">
        <v>99</v>
      </c>
      <c r="F42" s="15">
        <v>200</v>
      </c>
      <c r="G42" s="13">
        <f>800000-19692.33-284812.42</f>
        <v>495495.25000000006</v>
      </c>
      <c r="H42" s="13">
        <v>495495.25</v>
      </c>
      <c r="I42" s="32">
        <f t="shared" si="0"/>
        <v>99.99999999999999</v>
      </c>
    </row>
    <row r="43" spans="1:9" s="2" customFormat="1" ht="154.5" customHeight="1">
      <c r="A43" s="14" t="s">
        <v>168</v>
      </c>
      <c r="B43" s="6" t="s">
        <v>6</v>
      </c>
      <c r="C43" s="5" t="s">
        <v>13</v>
      </c>
      <c r="D43" s="5" t="s">
        <v>11</v>
      </c>
      <c r="E43" s="15" t="s">
        <v>167</v>
      </c>
      <c r="F43" s="15">
        <v>200</v>
      </c>
      <c r="G43" s="13">
        <v>99097.64</v>
      </c>
      <c r="H43" s="13">
        <v>99097.64</v>
      </c>
      <c r="I43" s="32">
        <f t="shared" si="0"/>
        <v>100</v>
      </c>
    </row>
    <row r="44" spans="1:9" s="2" customFormat="1" ht="135.75" customHeight="1">
      <c r="A44" s="14" t="s">
        <v>169</v>
      </c>
      <c r="B44" s="6" t="s">
        <v>6</v>
      </c>
      <c r="C44" s="5" t="s">
        <v>13</v>
      </c>
      <c r="D44" s="5" t="s">
        <v>11</v>
      </c>
      <c r="E44" s="15" t="s">
        <v>167</v>
      </c>
      <c r="F44" s="15">
        <v>800</v>
      </c>
      <c r="G44" s="13">
        <v>1586.47</v>
      </c>
      <c r="H44" s="13">
        <v>1586.47</v>
      </c>
      <c r="I44" s="32">
        <f t="shared" si="0"/>
        <v>100</v>
      </c>
    </row>
    <row r="45" spans="1:9" s="2" customFormat="1" ht="81.75" customHeight="1">
      <c r="A45" s="14" t="s">
        <v>207</v>
      </c>
      <c r="B45" s="6" t="s">
        <v>6</v>
      </c>
      <c r="C45" s="5" t="s">
        <v>13</v>
      </c>
      <c r="D45" s="5" t="s">
        <v>11</v>
      </c>
      <c r="E45" s="15" t="s">
        <v>203</v>
      </c>
      <c r="F45" s="15">
        <v>800</v>
      </c>
      <c r="G45" s="13">
        <f>35713.32</f>
        <v>35713.32</v>
      </c>
      <c r="H45" s="13">
        <v>35713.32</v>
      </c>
      <c r="I45" s="32">
        <f t="shared" si="0"/>
        <v>100</v>
      </c>
    </row>
    <row r="46" spans="1:9" s="2" customFormat="1" ht="117.75" customHeight="1">
      <c r="A46" s="14" t="s">
        <v>216</v>
      </c>
      <c r="B46" s="6" t="s">
        <v>6</v>
      </c>
      <c r="C46" s="5" t="s">
        <v>13</v>
      </c>
      <c r="D46" s="5" t="s">
        <v>11</v>
      </c>
      <c r="E46" s="15" t="s">
        <v>215</v>
      </c>
      <c r="F46" s="15">
        <v>200</v>
      </c>
      <c r="G46" s="13">
        <f>79199.61</f>
        <v>79199.61</v>
      </c>
      <c r="H46" s="13">
        <v>79199.61</v>
      </c>
      <c r="I46" s="32">
        <f t="shared" si="0"/>
        <v>100</v>
      </c>
    </row>
    <row r="47" spans="1:9" s="2" customFormat="1" ht="81.75" customHeight="1">
      <c r="A47" s="14" t="s">
        <v>217</v>
      </c>
      <c r="B47" s="6" t="s">
        <v>6</v>
      </c>
      <c r="C47" s="5" t="s">
        <v>13</v>
      </c>
      <c r="D47" s="5" t="s">
        <v>11</v>
      </c>
      <c r="E47" s="15" t="s">
        <v>219</v>
      </c>
      <c r="F47" s="15">
        <v>200</v>
      </c>
      <c r="G47" s="13">
        <f>31078.69</f>
        <v>31078.69</v>
      </c>
      <c r="H47" s="13">
        <v>0</v>
      </c>
      <c r="I47" s="32">
        <f t="shared" si="0"/>
        <v>0</v>
      </c>
    </row>
    <row r="48" spans="1:9" s="2" customFormat="1" ht="63" customHeight="1">
      <c r="A48" s="14" t="s">
        <v>218</v>
      </c>
      <c r="B48" s="6" t="s">
        <v>6</v>
      </c>
      <c r="C48" s="5" t="s">
        <v>13</v>
      </c>
      <c r="D48" s="5" t="s">
        <v>11</v>
      </c>
      <c r="E48" s="15" t="s">
        <v>219</v>
      </c>
      <c r="F48" s="15">
        <v>800</v>
      </c>
      <c r="G48" s="13">
        <f>9249.73</f>
        <v>9249.73</v>
      </c>
      <c r="H48" s="13">
        <v>0</v>
      </c>
      <c r="I48" s="32">
        <f t="shared" si="0"/>
        <v>0</v>
      </c>
    </row>
    <row r="49" spans="1:9" s="2" customFormat="1" ht="56.25" customHeight="1">
      <c r="A49" s="16" t="s">
        <v>87</v>
      </c>
      <c r="B49" s="6" t="s">
        <v>6</v>
      </c>
      <c r="C49" s="5" t="s">
        <v>13</v>
      </c>
      <c r="D49" s="5" t="s">
        <v>18</v>
      </c>
      <c r="E49" s="15" t="s">
        <v>34</v>
      </c>
      <c r="F49" s="15">
        <v>600</v>
      </c>
      <c r="G49" s="13">
        <f>200000+90000-35690.89</f>
        <v>254309.11</v>
      </c>
      <c r="H49" s="13">
        <v>254309.11</v>
      </c>
      <c r="I49" s="32">
        <f t="shared" si="0"/>
        <v>100</v>
      </c>
    </row>
    <row r="50" spans="1:9" s="2" customFormat="1" ht="78.75" customHeight="1">
      <c r="A50" s="14" t="s">
        <v>119</v>
      </c>
      <c r="B50" s="6" t="s">
        <v>120</v>
      </c>
      <c r="C50" s="5" t="s">
        <v>13</v>
      </c>
      <c r="D50" s="5" t="s">
        <v>18</v>
      </c>
      <c r="E50" s="15" t="s">
        <v>121</v>
      </c>
      <c r="F50" s="15">
        <v>200</v>
      </c>
      <c r="G50" s="13">
        <f>73000</f>
        <v>73000</v>
      </c>
      <c r="H50" s="13">
        <v>73000</v>
      </c>
      <c r="I50" s="32">
        <f t="shared" si="0"/>
        <v>100</v>
      </c>
    </row>
    <row r="51" spans="1:9" s="2" customFormat="1" ht="95.25" customHeight="1">
      <c r="A51" s="16" t="s">
        <v>65</v>
      </c>
      <c r="B51" s="6" t="s">
        <v>6</v>
      </c>
      <c r="C51" s="5" t="s">
        <v>13</v>
      </c>
      <c r="D51" s="5" t="s">
        <v>18</v>
      </c>
      <c r="E51" s="15" t="s">
        <v>56</v>
      </c>
      <c r="F51" s="15">
        <v>200</v>
      </c>
      <c r="G51" s="13">
        <f>2425948.79-16000+360000+189807.95-21619.49-9621.97+350</f>
        <v>2928865.28</v>
      </c>
      <c r="H51" s="13">
        <v>2928848.81</v>
      </c>
      <c r="I51" s="32">
        <f t="shared" si="0"/>
        <v>99.99943766618041</v>
      </c>
    </row>
    <row r="52" spans="1:9" s="2" customFormat="1" ht="81.75" customHeight="1">
      <c r="A52" s="14" t="s">
        <v>127</v>
      </c>
      <c r="B52" s="6" t="s">
        <v>6</v>
      </c>
      <c r="C52" s="5" t="s">
        <v>13</v>
      </c>
      <c r="D52" s="5" t="s">
        <v>18</v>
      </c>
      <c r="E52" s="15" t="s">
        <v>128</v>
      </c>
      <c r="F52" s="15">
        <v>200</v>
      </c>
      <c r="G52" s="13">
        <f>1757770.12-76652.4-350</f>
        <v>1680767.7200000002</v>
      </c>
      <c r="H52" s="13">
        <v>1680620.4</v>
      </c>
      <c r="I52" s="32">
        <f t="shared" si="0"/>
        <v>99.99123495779652</v>
      </c>
    </row>
    <row r="53" spans="1:9" s="2" customFormat="1" ht="76.5" customHeight="1">
      <c r="A53" s="16" t="s">
        <v>57</v>
      </c>
      <c r="B53" s="6" t="s">
        <v>6</v>
      </c>
      <c r="C53" s="5" t="s">
        <v>13</v>
      </c>
      <c r="D53" s="5" t="s">
        <v>18</v>
      </c>
      <c r="E53" s="15" t="s">
        <v>58</v>
      </c>
      <c r="F53" s="15">
        <v>200</v>
      </c>
      <c r="G53" s="13">
        <f>6300000-5850000+300000+153176.6+295000+25000-54558.63</f>
        <v>1168617.9700000002</v>
      </c>
      <c r="H53" s="13">
        <v>1168617.72</v>
      </c>
      <c r="I53" s="32">
        <f t="shared" si="0"/>
        <v>99.99997860720897</v>
      </c>
    </row>
    <row r="54" spans="1:9" s="2" customFormat="1" ht="57" customHeight="1">
      <c r="A54" s="16" t="s">
        <v>59</v>
      </c>
      <c r="B54" s="6" t="s">
        <v>6</v>
      </c>
      <c r="C54" s="5" t="s">
        <v>13</v>
      </c>
      <c r="D54" s="5" t="s">
        <v>18</v>
      </c>
      <c r="E54" s="15" t="s">
        <v>60</v>
      </c>
      <c r="F54" s="15">
        <v>200</v>
      </c>
      <c r="G54" s="13">
        <f>141452.59+138000+44879+80000+102364-60000+28498.06</f>
        <v>475193.64999999997</v>
      </c>
      <c r="H54" s="13">
        <v>458089</v>
      </c>
      <c r="I54" s="32">
        <f t="shared" si="0"/>
        <v>96.40048851662897</v>
      </c>
    </row>
    <row r="55" spans="1:9" s="2" customFormat="1" ht="112.5" customHeight="1">
      <c r="A55" s="16" t="s">
        <v>135</v>
      </c>
      <c r="B55" s="6" t="s">
        <v>6</v>
      </c>
      <c r="C55" s="5" t="s">
        <v>13</v>
      </c>
      <c r="D55" s="5" t="s">
        <v>18</v>
      </c>
      <c r="E55" s="15" t="s">
        <v>136</v>
      </c>
      <c r="F55" s="15">
        <v>200</v>
      </c>
      <c r="G55" s="13">
        <f>239800-63000-138000-33400+25000</f>
        <v>30400</v>
      </c>
      <c r="H55" s="13">
        <v>30400</v>
      </c>
      <c r="I55" s="32">
        <f t="shared" si="0"/>
        <v>100</v>
      </c>
    </row>
    <row r="56" spans="1:9" s="2" customFormat="1" ht="114" customHeight="1">
      <c r="A56" s="16" t="s">
        <v>161</v>
      </c>
      <c r="B56" s="6" t="s">
        <v>6</v>
      </c>
      <c r="C56" s="5" t="s">
        <v>13</v>
      </c>
      <c r="D56" s="5" t="s">
        <v>18</v>
      </c>
      <c r="E56" s="15" t="s">
        <v>160</v>
      </c>
      <c r="F56" s="15">
        <v>200</v>
      </c>
      <c r="G56" s="13">
        <f>21000-1560</f>
        <v>19440</v>
      </c>
      <c r="H56" s="13">
        <v>19440</v>
      </c>
      <c r="I56" s="32">
        <f t="shared" si="0"/>
        <v>100</v>
      </c>
    </row>
    <row r="57" spans="1:9" s="2" customFormat="1" ht="58.5" customHeight="1">
      <c r="A57" s="16" t="s">
        <v>108</v>
      </c>
      <c r="B57" s="6" t="s">
        <v>6</v>
      </c>
      <c r="C57" s="5" t="s">
        <v>13</v>
      </c>
      <c r="D57" s="5" t="s">
        <v>18</v>
      </c>
      <c r="E57" s="15" t="s">
        <v>107</v>
      </c>
      <c r="F57" s="15">
        <v>200</v>
      </c>
      <c r="G57" s="13">
        <f>200000+34966.11+80000+300000-1701.71</f>
        <v>613264.4</v>
      </c>
      <c r="H57" s="13">
        <v>613264.4</v>
      </c>
      <c r="I57" s="32">
        <f t="shared" si="0"/>
        <v>100</v>
      </c>
    </row>
    <row r="58" spans="1:9" s="2" customFormat="1" ht="96" customHeight="1">
      <c r="A58" s="16" t="s">
        <v>140</v>
      </c>
      <c r="B58" s="6" t="s">
        <v>6</v>
      </c>
      <c r="C58" s="5" t="s">
        <v>13</v>
      </c>
      <c r="D58" s="5" t="s">
        <v>18</v>
      </c>
      <c r="E58" s="15" t="s">
        <v>139</v>
      </c>
      <c r="F58" s="15">
        <v>200</v>
      </c>
      <c r="G58" s="13">
        <f>2806302.4+705357.6-75672.62</f>
        <v>3435987.38</v>
      </c>
      <c r="H58" s="13">
        <v>3435987.38</v>
      </c>
      <c r="I58" s="32">
        <f t="shared" si="0"/>
        <v>100</v>
      </c>
    </row>
    <row r="59" spans="1:9" s="2" customFormat="1" ht="75.75" customHeight="1">
      <c r="A59" s="16" t="s">
        <v>146</v>
      </c>
      <c r="B59" s="6" t="s">
        <v>6</v>
      </c>
      <c r="C59" s="5" t="s">
        <v>13</v>
      </c>
      <c r="D59" s="5" t="s">
        <v>18</v>
      </c>
      <c r="E59" s="15" t="s">
        <v>147</v>
      </c>
      <c r="F59" s="15">
        <v>200</v>
      </c>
      <c r="G59" s="13">
        <f>900000+1300000-78221.7</f>
        <v>2121778.3</v>
      </c>
      <c r="H59" s="13">
        <v>2120778.3</v>
      </c>
      <c r="I59" s="32">
        <f t="shared" si="0"/>
        <v>99.95286972253416</v>
      </c>
    </row>
    <row r="60" spans="1:9" s="2" customFormat="1" ht="113.25" customHeight="1">
      <c r="A60" s="16" t="s">
        <v>157</v>
      </c>
      <c r="B60" s="6" t="s">
        <v>6</v>
      </c>
      <c r="C60" s="5" t="s">
        <v>13</v>
      </c>
      <c r="D60" s="5" t="s">
        <v>18</v>
      </c>
      <c r="E60" s="15" t="s">
        <v>148</v>
      </c>
      <c r="F60" s="15">
        <v>200</v>
      </c>
      <c r="G60" s="13">
        <f>650000-3896</f>
        <v>646104</v>
      </c>
      <c r="H60" s="13">
        <v>646104</v>
      </c>
      <c r="I60" s="32">
        <f t="shared" si="0"/>
        <v>100</v>
      </c>
    </row>
    <row r="61" spans="1:9" s="2" customFormat="1" ht="77.25" customHeight="1">
      <c r="A61" s="16" t="s">
        <v>149</v>
      </c>
      <c r="B61" s="6" t="s">
        <v>6</v>
      </c>
      <c r="C61" s="5" t="s">
        <v>13</v>
      </c>
      <c r="D61" s="5" t="s">
        <v>18</v>
      </c>
      <c r="E61" s="15" t="s">
        <v>150</v>
      </c>
      <c r="F61" s="15">
        <v>200</v>
      </c>
      <c r="G61" s="13">
        <f>4300000+554913.3+174705.51+273680.3</f>
        <v>5303299.109999999</v>
      </c>
      <c r="H61" s="13">
        <v>4856283.73</v>
      </c>
      <c r="I61" s="32">
        <f t="shared" si="0"/>
        <v>91.57099438051497</v>
      </c>
    </row>
    <row r="62" spans="1:9" s="2" customFormat="1" ht="95.25" customHeight="1">
      <c r="A62" s="16" t="s">
        <v>151</v>
      </c>
      <c r="B62" s="6" t="s">
        <v>6</v>
      </c>
      <c r="C62" s="5" t="s">
        <v>13</v>
      </c>
      <c r="D62" s="5" t="s">
        <v>18</v>
      </c>
      <c r="E62" s="15" t="s">
        <v>153</v>
      </c>
      <c r="F62" s="15">
        <v>200</v>
      </c>
      <c r="G62" s="13">
        <f>218000</f>
        <v>218000</v>
      </c>
      <c r="H62" s="13">
        <v>216910</v>
      </c>
      <c r="I62" s="32">
        <f t="shared" si="0"/>
        <v>99.5</v>
      </c>
    </row>
    <row r="63" spans="1:9" s="2" customFormat="1" ht="77.25" customHeight="1">
      <c r="A63" s="16" t="s">
        <v>152</v>
      </c>
      <c r="B63" s="6" t="s">
        <v>6</v>
      </c>
      <c r="C63" s="5" t="s">
        <v>13</v>
      </c>
      <c r="D63" s="5" t="s">
        <v>18</v>
      </c>
      <c r="E63" s="15" t="s">
        <v>154</v>
      </c>
      <c r="F63" s="15">
        <v>200</v>
      </c>
      <c r="G63" s="13">
        <f>86000</f>
        <v>86000</v>
      </c>
      <c r="H63" s="13">
        <v>86000</v>
      </c>
      <c r="I63" s="32">
        <f t="shared" si="0"/>
        <v>100</v>
      </c>
    </row>
    <row r="64" spans="1:9" s="2" customFormat="1" ht="98.25" customHeight="1">
      <c r="A64" s="16" t="s">
        <v>237</v>
      </c>
      <c r="B64" s="6" t="s">
        <v>6</v>
      </c>
      <c r="C64" s="5" t="s">
        <v>13</v>
      </c>
      <c r="D64" s="5" t="s">
        <v>18</v>
      </c>
      <c r="E64" s="15" t="s">
        <v>236</v>
      </c>
      <c r="F64" s="15">
        <v>200</v>
      </c>
      <c r="G64" s="13">
        <f>50000</f>
        <v>50000</v>
      </c>
      <c r="H64" s="13">
        <v>50000</v>
      </c>
      <c r="I64" s="32">
        <f t="shared" si="0"/>
        <v>100</v>
      </c>
    </row>
    <row r="65" spans="1:9" s="2" customFormat="1" ht="77.25" customHeight="1">
      <c r="A65" s="16" t="s">
        <v>229</v>
      </c>
      <c r="B65" s="6" t="s">
        <v>6</v>
      </c>
      <c r="C65" s="5" t="s">
        <v>13</v>
      </c>
      <c r="D65" s="5" t="s">
        <v>18</v>
      </c>
      <c r="E65" s="15" t="s">
        <v>228</v>
      </c>
      <c r="F65" s="15">
        <v>200</v>
      </c>
      <c r="G65" s="13">
        <f>158901.6</f>
        <v>158901.6</v>
      </c>
      <c r="H65" s="13">
        <v>155356.88</v>
      </c>
      <c r="I65" s="32">
        <f t="shared" si="0"/>
        <v>97.76923580379304</v>
      </c>
    </row>
    <row r="66" spans="1:9" s="2" customFormat="1" ht="121.5" customHeight="1">
      <c r="A66" s="16" t="s">
        <v>182</v>
      </c>
      <c r="B66" s="6" t="s">
        <v>6</v>
      </c>
      <c r="C66" s="5" t="s">
        <v>13</v>
      </c>
      <c r="D66" s="5" t="s">
        <v>18</v>
      </c>
      <c r="E66" s="15" t="s">
        <v>189</v>
      </c>
      <c r="F66" s="15">
        <v>400</v>
      </c>
      <c r="G66" s="13">
        <f>811252.33-113792.73</f>
        <v>697459.6</v>
      </c>
      <c r="H66" s="13">
        <v>697459.6</v>
      </c>
      <c r="I66" s="32">
        <f t="shared" si="0"/>
        <v>100</v>
      </c>
    </row>
    <row r="67" spans="1:9" s="2" customFormat="1" ht="117" customHeight="1">
      <c r="A67" s="14" t="s">
        <v>126</v>
      </c>
      <c r="B67" s="6" t="s">
        <v>6</v>
      </c>
      <c r="C67" s="5" t="s">
        <v>124</v>
      </c>
      <c r="D67" s="5" t="s">
        <v>18</v>
      </c>
      <c r="E67" s="15" t="s">
        <v>125</v>
      </c>
      <c r="F67" s="15">
        <v>200</v>
      </c>
      <c r="G67" s="13">
        <f>58840-18080.18+120000-40759.82</f>
        <v>120000</v>
      </c>
      <c r="H67" s="13">
        <v>120000</v>
      </c>
      <c r="I67" s="32">
        <f t="shared" si="0"/>
        <v>100</v>
      </c>
    </row>
    <row r="68" spans="1:9" s="2" customFormat="1" ht="77.25" customHeight="1">
      <c r="A68" s="14" t="s">
        <v>162</v>
      </c>
      <c r="B68" s="6" t="s">
        <v>6</v>
      </c>
      <c r="C68" s="5" t="s">
        <v>124</v>
      </c>
      <c r="D68" s="5" t="s">
        <v>18</v>
      </c>
      <c r="E68" s="15" t="s">
        <v>163</v>
      </c>
      <c r="F68" s="15">
        <v>200</v>
      </c>
      <c r="G68" s="13">
        <f>80000</f>
        <v>80000</v>
      </c>
      <c r="H68" s="13">
        <v>80000</v>
      </c>
      <c r="I68" s="32">
        <f t="shared" si="0"/>
        <v>100</v>
      </c>
    </row>
    <row r="69" spans="1:9" s="2" customFormat="1" ht="99" customHeight="1">
      <c r="A69" s="14" t="s">
        <v>173</v>
      </c>
      <c r="B69" s="6" t="s">
        <v>6</v>
      </c>
      <c r="C69" s="5" t="s">
        <v>124</v>
      </c>
      <c r="D69" s="5" t="s">
        <v>18</v>
      </c>
      <c r="E69" s="15" t="s">
        <v>170</v>
      </c>
      <c r="F69" s="15">
        <v>200</v>
      </c>
      <c r="G69" s="13">
        <f>21000-474.8</f>
        <v>20525.2</v>
      </c>
      <c r="H69" s="13">
        <v>20525.2</v>
      </c>
      <c r="I69" s="32">
        <f t="shared" si="0"/>
        <v>100</v>
      </c>
    </row>
    <row r="70" spans="1:9" s="2" customFormat="1" ht="99" customHeight="1">
      <c r="A70" s="14" t="s">
        <v>174</v>
      </c>
      <c r="B70" s="6" t="s">
        <v>6</v>
      </c>
      <c r="C70" s="5" t="s">
        <v>124</v>
      </c>
      <c r="D70" s="5" t="s">
        <v>18</v>
      </c>
      <c r="E70" s="15" t="s">
        <v>171</v>
      </c>
      <c r="F70" s="15">
        <v>200</v>
      </c>
      <c r="G70" s="13">
        <f>21000-474.8</f>
        <v>20525.2</v>
      </c>
      <c r="H70" s="13">
        <v>20525.2</v>
      </c>
      <c r="I70" s="32">
        <f t="shared" si="0"/>
        <v>100</v>
      </c>
    </row>
    <row r="71" spans="1:9" s="2" customFormat="1" ht="98.25" customHeight="1">
      <c r="A71" s="14" t="s">
        <v>175</v>
      </c>
      <c r="B71" s="6" t="s">
        <v>6</v>
      </c>
      <c r="C71" s="5" t="s">
        <v>124</v>
      </c>
      <c r="D71" s="5" t="s">
        <v>18</v>
      </c>
      <c r="E71" s="15" t="s">
        <v>172</v>
      </c>
      <c r="F71" s="15">
        <v>200</v>
      </c>
      <c r="G71" s="13">
        <f>21000-474.8</f>
        <v>20525.2</v>
      </c>
      <c r="H71" s="13">
        <v>20525.5</v>
      </c>
      <c r="I71" s="32">
        <f t="shared" si="0"/>
        <v>100.00146161791359</v>
      </c>
    </row>
    <row r="72" spans="1:9" s="2" customFormat="1" ht="116.25" customHeight="1">
      <c r="A72" s="14" t="s">
        <v>184</v>
      </c>
      <c r="B72" s="6" t="s">
        <v>6</v>
      </c>
      <c r="C72" s="5" t="s">
        <v>13</v>
      </c>
      <c r="D72" s="5" t="s">
        <v>18</v>
      </c>
      <c r="E72" s="15" t="s">
        <v>183</v>
      </c>
      <c r="F72" s="15">
        <v>200</v>
      </c>
      <c r="G72" s="13">
        <f>17483.68+18080.18+19100.38+195415.92</f>
        <v>250080.16000000003</v>
      </c>
      <c r="H72" s="13">
        <v>230979.78</v>
      </c>
      <c r="I72" s="32">
        <f t="shared" si="0"/>
        <v>92.36229695310494</v>
      </c>
    </row>
    <row r="73" spans="1:9" s="2" customFormat="1" ht="79.5" customHeight="1">
      <c r="A73" s="14" t="s">
        <v>231</v>
      </c>
      <c r="B73" s="6" t="s">
        <v>6</v>
      </c>
      <c r="C73" s="5" t="s">
        <v>13</v>
      </c>
      <c r="D73" s="5" t="s">
        <v>18</v>
      </c>
      <c r="E73" s="15" t="s">
        <v>230</v>
      </c>
      <c r="F73" s="15">
        <v>200</v>
      </c>
      <c r="G73" s="13">
        <f>8175</f>
        <v>8175</v>
      </c>
      <c r="H73" s="13">
        <v>8175</v>
      </c>
      <c r="I73" s="32">
        <f t="shared" si="0"/>
        <v>100</v>
      </c>
    </row>
    <row r="74" spans="1:9" s="2" customFormat="1" ht="126" customHeight="1">
      <c r="A74" s="20" t="s">
        <v>179</v>
      </c>
      <c r="B74" s="6" t="s">
        <v>6</v>
      </c>
      <c r="C74" s="5" t="s">
        <v>13</v>
      </c>
      <c r="D74" s="5" t="s">
        <v>18</v>
      </c>
      <c r="E74" s="15" t="s">
        <v>176</v>
      </c>
      <c r="F74" s="15">
        <v>200</v>
      </c>
      <c r="G74" s="13">
        <f>1058000</f>
        <v>1058000</v>
      </c>
      <c r="H74" s="13">
        <v>1058000</v>
      </c>
      <c r="I74" s="32">
        <f t="shared" si="0"/>
        <v>100</v>
      </c>
    </row>
    <row r="75" spans="1:9" s="2" customFormat="1" ht="134.25" customHeight="1">
      <c r="A75" s="20" t="s">
        <v>180</v>
      </c>
      <c r="B75" s="6" t="s">
        <v>6</v>
      </c>
      <c r="C75" s="5" t="s">
        <v>13</v>
      </c>
      <c r="D75" s="5" t="s">
        <v>18</v>
      </c>
      <c r="E75" s="15" t="s">
        <v>177</v>
      </c>
      <c r="F75" s="15">
        <v>200</v>
      </c>
      <c r="G75" s="13">
        <f>1058000</f>
        <v>1058000</v>
      </c>
      <c r="H75" s="13">
        <v>1058000</v>
      </c>
      <c r="I75" s="32">
        <f t="shared" si="0"/>
        <v>100</v>
      </c>
    </row>
    <row r="76" spans="1:9" s="2" customFormat="1" ht="119.25" customHeight="1">
      <c r="A76" s="20" t="s">
        <v>181</v>
      </c>
      <c r="B76" s="6" t="s">
        <v>6</v>
      </c>
      <c r="C76" s="5" t="s">
        <v>13</v>
      </c>
      <c r="D76" s="5" t="s">
        <v>18</v>
      </c>
      <c r="E76" s="15" t="s">
        <v>178</v>
      </c>
      <c r="F76" s="15">
        <v>200</v>
      </c>
      <c r="G76" s="13">
        <f>1058000</f>
        <v>1058000</v>
      </c>
      <c r="H76" s="13">
        <v>1058000</v>
      </c>
      <c r="I76" s="32">
        <f t="shared" si="0"/>
        <v>100</v>
      </c>
    </row>
    <row r="77" spans="1:9" s="2" customFormat="1" ht="60.75" customHeight="1">
      <c r="A77" s="14" t="s">
        <v>192</v>
      </c>
      <c r="B77" s="6" t="s">
        <v>6</v>
      </c>
      <c r="C77" s="5" t="s">
        <v>19</v>
      </c>
      <c r="D77" s="5" t="s">
        <v>13</v>
      </c>
      <c r="E77" s="15" t="s">
        <v>191</v>
      </c>
      <c r="F77" s="15">
        <v>200</v>
      </c>
      <c r="G77" s="13">
        <f>5000</f>
        <v>5000</v>
      </c>
      <c r="H77" s="13">
        <v>800</v>
      </c>
      <c r="I77" s="32">
        <f t="shared" si="0"/>
        <v>16</v>
      </c>
    </row>
    <row r="78" spans="1:9" ht="57.75" customHeight="1">
      <c r="A78" s="17" t="s">
        <v>32</v>
      </c>
      <c r="B78" s="5" t="s">
        <v>6</v>
      </c>
      <c r="C78" s="5" t="s">
        <v>19</v>
      </c>
      <c r="D78" s="5" t="s">
        <v>19</v>
      </c>
      <c r="E78" s="15" t="s">
        <v>31</v>
      </c>
      <c r="F78" s="15">
        <v>600</v>
      </c>
      <c r="G78" s="13">
        <f>33440+76940-1610</f>
        <v>108770</v>
      </c>
      <c r="H78" s="13">
        <v>108770</v>
      </c>
      <c r="I78" s="32">
        <f aca="true" t="shared" si="1" ref="I78:I124">H78/G78*100</f>
        <v>100</v>
      </c>
    </row>
    <row r="79" spans="1:9" ht="58.5" customHeight="1">
      <c r="A79" s="16" t="s">
        <v>24</v>
      </c>
      <c r="B79" s="5" t="s">
        <v>6</v>
      </c>
      <c r="C79" s="5" t="s">
        <v>19</v>
      </c>
      <c r="D79" s="5" t="s">
        <v>19</v>
      </c>
      <c r="E79" s="15" t="s">
        <v>33</v>
      </c>
      <c r="F79" s="15">
        <v>600</v>
      </c>
      <c r="G79" s="13">
        <f>5280</f>
        <v>5280</v>
      </c>
      <c r="H79" s="13">
        <v>5280</v>
      </c>
      <c r="I79" s="32">
        <f t="shared" si="1"/>
        <v>100</v>
      </c>
    </row>
    <row r="80" spans="1:9" ht="78" customHeight="1">
      <c r="A80" s="14" t="s">
        <v>26</v>
      </c>
      <c r="B80" s="5" t="s">
        <v>6</v>
      </c>
      <c r="C80" s="5" t="s">
        <v>16</v>
      </c>
      <c r="D80" s="5" t="s">
        <v>10</v>
      </c>
      <c r="E80" s="15" t="s">
        <v>36</v>
      </c>
      <c r="F80" s="15">
        <v>600</v>
      </c>
      <c r="G80" s="13">
        <f>16876880.78+280353.93+204639.79+90639.75+300000+48000+10000+237362.72+30147.01+432463.61+62758.23</f>
        <v>18573245.82</v>
      </c>
      <c r="H80" s="13">
        <v>18573245.82</v>
      </c>
      <c r="I80" s="32">
        <f t="shared" si="1"/>
        <v>100</v>
      </c>
    </row>
    <row r="81" spans="1:9" ht="61.5" customHeight="1">
      <c r="A81" s="16" t="s">
        <v>69</v>
      </c>
      <c r="B81" s="5" t="s">
        <v>6</v>
      </c>
      <c r="C81" s="5" t="s">
        <v>16</v>
      </c>
      <c r="D81" s="5" t="s">
        <v>10</v>
      </c>
      <c r="E81" s="15" t="s">
        <v>34</v>
      </c>
      <c r="F81" s="15">
        <v>600</v>
      </c>
      <c r="G81" s="13">
        <f>618928-76940-90000+39578.39</f>
        <v>491566.39</v>
      </c>
      <c r="H81" s="13">
        <v>491566.39</v>
      </c>
      <c r="I81" s="32">
        <f t="shared" si="1"/>
        <v>100</v>
      </c>
    </row>
    <row r="82" spans="1:9" ht="76.5" customHeight="1">
      <c r="A82" s="14" t="s">
        <v>83</v>
      </c>
      <c r="B82" s="5" t="s">
        <v>6</v>
      </c>
      <c r="C82" s="5" t="s">
        <v>16</v>
      </c>
      <c r="D82" s="5" t="s">
        <v>10</v>
      </c>
      <c r="E82" s="15" t="s">
        <v>84</v>
      </c>
      <c r="F82" s="15">
        <v>600</v>
      </c>
      <c r="G82" s="13">
        <f>150000-2277.5</f>
        <v>147722.5</v>
      </c>
      <c r="H82" s="13">
        <v>147722.5</v>
      </c>
      <c r="I82" s="32">
        <f t="shared" si="1"/>
        <v>100</v>
      </c>
    </row>
    <row r="83" spans="1:9" ht="153.75" customHeight="1">
      <c r="A83" s="14" t="s">
        <v>196</v>
      </c>
      <c r="B83" s="5" t="s">
        <v>6</v>
      </c>
      <c r="C83" s="5" t="s">
        <v>16</v>
      </c>
      <c r="D83" s="5" t="s">
        <v>10</v>
      </c>
      <c r="E83" s="15" t="s">
        <v>195</v>
      </c>
      <c r="F83" s="15">
        <v>600</v>
      </c>
      <c r="G83" s="13">
        <f>40000</f>
        <v>40000</v>
      </c>
      <c r="H83" s="13">
        <v>40000</v>
      </c>
      <c r="I83" s="32">
        <f t="shared" si="1"/>
        <v>100</v>
      </c>
    </row>
    <row r="84" spans="1:9" ht="128.25" customHeight="1">
      <c r="A84" s="14" t="s">
        <v>239</v>
      </c>
      <c r="B84" s="5" t="s">
        <v>6</v>
      </c>
      <c r="C84" s="5" t="s">
        <v>16</v>
      </c>
      <c r="D84" s="5" t="s">
        <v>10</v>
      </c>
      <c r="E84" s="15" t="s">
        <v>238</v>
      </c>
      <c r="F84" s="15">
        <v>600</v>
      </c>
      <c r="G84" s="13">
        <f>450000</f>
        <v>450000</v>
      </c>
      <c r="H84" s="13">
        <v>450000</v>
      </c>
      <c r="I84" s="32">
        <f t="shared" si="1"/>
        <v>100</v>
      </c>
    </row>
    <row r="85" spans="1:9" ht="113.25" customHeight="1">
      <c r="A85" s="16" t="s">
        <v>109</v>
      </c>
      <c r="B85" s="5" t="s">
        <v>6</v>
      </c>
      <c r="C85" s="5" t="s">
        <v>16</v>
      </c>
      <c r="D85" s="5" t="s">
        <v>10</v>
      </c>
      <c r="E85" s="15" t="s">
        <v>110</v>
      </c>
      <c r="F85" s="15">
        <v>600</v>
      </c>
      <c r="G85" s="13">
        <f>6362604-135745</f>
        <v>6226859</v>
      </c>
      <c r="H85" s="13">
        <v>6226859</v>
      </c>
      <c r="I85" s="32">
        <f t="shared" si="1"/>
        <v>100</v>
      </c>
    </row>
    <row r="86" spans="1:9" ht="115.5" customHeight="1">
      <c r="A86" s="14" t="s">
        <v>166</v>
      </c>
      <c r="B86" s="5" t="s">
        <v>6</v>
      </c>
      <c r="C86" s="5" t="s">
        <v>16</v>
      </c>
      <c r="D86" s="5" t="s">
        <v>10</v>
      </c>
      <c r="E86" s="15" t="s">
        <v>37</v>
      </c>
      <c r="F86" s="15">
        <v>600</v>
      </c>
      <c r="G86" s="13">
        <f>1121650.92</f>
        <v>1121650.92</v>
      </c>
      <c r="H86" s="13">
        <v>1121650.92</v>
      </c>
      <c r="I86" s="32">
        <f t="shared" si="1"/>
        <v>100</v>
      </c>
    </row>
    <row r="87" spans="1:9" ht="75.75" customHeight="1">
      <c r="A87" s="14" t="s">
        <v>165</v>
      </c>
      <c r="B87" s="5" t="s">
        <v>6</v>
      </c>
      <c r="C87" s="5" t="s">
        <v>16</v>
      </c>
      <c r="D87" s="5" t="s">
        <v>10</v>
      </c>
      <c r="E87" s="15" t="s">
        <v>164</v>
      </c>
      <c r="F87" s="15">
        <v>600</v>
      </c>
      <c r="G87" s="13">
        <f>740042.11+14060800+424130.97+310929.48</f>
        <v>15535902.56</v>
      </c>
      <c r="H87" s="13">
        <v>15502485.55</v>
      </c>
      <c r="I87" s="32">
        <f t="shared" si="1"/>
        <v>99.78490461129668</v>
      </c>
    </row>
    <row r="88" spans="1:9" ht="99.75" customHeight="1">
      <c r="A88" s="14" t="s">
        <v>245</v>
      </c>
      <c r="B88" s="5" t="s">
        <v>6</v>
      </c>
      <c r="C88" s="5" t="s">
        <v>16</v>
      </c>
      <c r="D88" s="5" t="s">
        <v>10</v>
      </c>
      <c r="E88" s="15" t="s">
        <v>244</v>
      </c>
      <c r="F88" s="15">
        <v>600</v>
      </c>
      <c r="G88" s="13">
        <v>17400</v>
      </c>
      <c r="H88" s="13">
        <v>17400</v>
      </c>
      <c r="I88" s="32">
        <f t="shared" si="1"/>
        <v>100</v>
      </c>
    </row>
    <row r="89" spans="1:9" ht="59.25" customHeight="1">
      <c r="A89" s="14" t="s">
        <v>212</v>
      </c>
      <c r="B89" s="5" t="s">
        <v>6</v>
      </c>
      <c r="C89" s="5" t="s">
        <v>20</v>
      </c>
      <c r="D89" s="5" t="s">
        <v>10</v>
      </c>
      <c r="E89" s="15" t="s">
        <v>38</v>
      </c>
      <c r="F89" s="15">
        <v>200</v>
      </c>
      <c r="G89" s="13">
        <f>1138.5</f>
        <v>1138.5</v>
      </c>
      <c r="H89" s="13">
        <v>918.49</v>
      </c>
      <c r="I89" s="32">
        <f t="shared" si="1"/>
        <v>80.67545015371103</v>
      </c>
    </row>
    <row r="90" spans="1:9" ht="57" customHeight="1">
      <c r="A90" s="14" t="s">
        <v>63</v>
      </c>
      <c r="B90" s="5" t="s">
        <v>6</v>
      </c>
      <c r="C90" s="5" t="s">
        <v>20</v>
      </c>
      <c r="D90" s="5" t="s">
        <v>10</v>
      </c>
      <c r="E90" s="15" t="s">
        <v>38</v>
      </c>
      <c r="F90" s="15">
        <v>300</v>
      </c>
      <c r="G90" s="13">
        <f>248536.2+8795.31</f>
        <v>257331.51</v>
      </c>
      <c r="H90" s="13">
        <v>236180.86</v>
      </c>
      <c r="I90" s="32">
        <f t="shared" si="1"/>
        <v>91.78077725498909</v>
      </c>
    </row>
    <row r="91" spans="1:9" ht="96" customHeight="1">
      <c r="A91" s="16" t="s">
        <v>91</v>
      </c>
      <c r="B91" s="6" t="s">
        <v>6</v>
      </c>
      <c r="C91" s="5" t="s">
        <v>20</v>
      </c>
      <c r="D91" s="5" t="s">
        <v>18</v>
      </c>
      <c r="E91" s="15" t="s">
        <v>92</v>
      </c>
      <c r="F91" s="15">
        <v>200</v>
      </c>
      <c r="G91" s="13">
        <f>65000-30176.6</f>
        <v>34823.4</v>
      </c>
      <c r="H91" s="13">
        <v>0</v>
      </c>
      <c r="I91" s="32">
        <f t="shared" si="1"/>
        <v>0</v>
      </c>
    </row>
    <row r="92" spans="1:9" ht="96" customHeight="1">
      <c r="A92" s="14" t="s">
        <v>186</v>
      </c>
      <c r="B92" s="6" t="s">
        <v>6</v>
      </c>
      <c r="C92" s="5" t="s">
        <v>20</v>
      </c>
      <c r="D92" s="5" t="s">
        <v>18</v>
      </c>
      <c r="E92" s="15" t="s">
        <v>185</v>
      </c>
      <c r="F92" s="15">
        <v>300</v>
      </c>
      <c r="G92" s="13">
        <v>40000</v>
      </c>
      <c r="H92" s="13">
        <v>40000</v>
      </c>
      <c r="I92" s="32">
        <f t="shared" si="1"/>
        <v>100</v>
      </c>
    </row>
    <row r="93" spans="1:9" ht="60.75" customHeight="1">
      <c r="A93" s="14" t="s">
        <v>25</v>
      </c>
      <c r="B93" s="5" t="s">
        <v>6</v>
      </c>
      <c r="C93" s="5" t="s">
        <v>14</v>
      </c>
      <c r="D93" s="5" t="s">
        <v>11</v>
      </c>
      <c r="E93" s="15" t="s">
        <v>35</v>
      </c>
      <c r="F93" s="15">
        <v>200</v>
      </c>
      <c r="G93" s="13">
        <f>77000-2204.6</f>
        <v>74795.4</v>
      </c>
      <c r="H93" s="13">
        <v>74795.4</v>
      </c>
      <c r="I93" s="32">
        <f t="shared" si="1"/>
        <v>100</v>
      </c>
    </row>
    <row r="94" spans="1:9" ht="42" customHeight="1">
      <c r="A94" s="21" t="s">
        <v>221</v>
      </c>
      <c r="B94" s="9" t="s">
        <v>220</v>
      </c>
      <c r="C94" s="9" t="s">
        <v>7</v>
      </c>
      <c r="D94" s="9" t="s">
        <v>7</v>
      </c>
      <c r="E94" s="22" t="s">
        <v>8</v>
      </c>
      <c r="F94" s="23" t="s">
        <v>9</v>
      </c>
      <c r="G94" s="10">
        <f>G95+G96+G97</f>
        <v>291354.14</v>
      </c>
      <c r="H94" s="10">
        <f>H95+H96+H97</f>
        <v>291354.14</v>
      </c>
      <c r="I94" s="31">
        <f t="shared" si="1"/>
        <v>100</v>
      </c>
    </row>
    <row r="95" spans="1:9" ht="169.5" customHeight="1">
      <c r="A95" s="14" t="s">
        <v>226</v>
      </c>
      <c r="B95" s="5" t="s">
        <v>220</v>
      </c>
      <c r="C95" s="5" t="s">
        <v>10</v>
      </c>
      <c r="D95" s="5" t="s">
        <v>15</v>
      </c>
      <c r="E95" s="15" t="s">
        <v>222</v>
      </c>
      <c r="F95" s="6" t="s">
        <v>205</v>
      </c>
      <c r="G95" s="13">
        <f>27666.89</f>
        <v>27666.89</v>
      </c>
      <c r="H95" s="13">
        <v>27666.89</v>
      </c>
      <c r="I95" s="32">
        <f t="shared" si="1"/>
        <v>100</v>
      </c>
    </row>
    <row r="96" spans="1:9" ht="155.25" customHeight="1">
      <c r="A96" s="14" t="s">
        <v>224</v>
      </c>
      <c r="B96" s="5" t="s">
        <v>220</v>
      </c>
      <c r="C96" s="5" t="s">
        <v>10</v>
      </c>
      <c r="D96" s="5" t="s">
        <v>15</v>
      </c>
      <c r="E96" s="15" t="s">
        <v>222</v>
      </c>
      <c r="F96" s="15">
        <v>800</v>
      </c>
      <c r="G96" s="13">
        <f>29666.89-27666.89</f>
        <v>2000</v>
      </c>
      <c r="H96" s="13">
        <v>2000</v>
      </c>
      <c r="I96" s="32">
        <f t="shared" si="1"/>
        <v>100</v>
      </c>
    </row>
    <row r="97" spans="1:9" ht="137.25" customHeight="1">
      <c r="A97" s="14" t="s">
        <v>225</v>
      </c>
      <c r="B97" s="5" t="s">
        <v>220</v>
      </c>
      <c r="C97" s="5" t="s">
        <v>10</v>
      </c>
      <c r="D97" s="5" t="s">
        <v>15</v>
      </c>
      <c r="E97" s="15" t="s">
        <v>223</v>
      </c>
      <c r="F97" s="15">
        <v>800</v>
      </c>
      <c r="G97" s="13">
        <f>261687.25</f>
        <v>261687.25</v>
      </c>
      <c r="H97" s="13">
        <v>261687.25</v>
      </c>
      <c r="I97" s="32">
        <f t="shared" si="1"/>
        <v>100</v>
      </c>
    </row>
    <row r="98" spans="1:9" s="25" customFormat="1" ht="58.5" customHeight="1">
      <c r="A98" s="24" t="s">
        <v>93</v>
      </c>
      <c r="B98" s="9" t="s">
        <v>94</v>
      </c>
      <c r="C98" s="9" t="s">
        <v>7</v>
      </c>
      <c r="D98" s="9" t="s">
        <v>7</v>
      </c>
      <c r="E98" s="22" t="s">
        <v>8</v>
      </c>
      <c r="F98" s="23" t="s">
        <v>9</v>
      </c>
      <c r="G98" s="10">
        <f>SUM(G99:G103)</f>
        <v>493000.00000000006</v>
      </c>
      <c r="H98" s="10">
        <f>SUM(H99:H103)</f>
        <v>456189</v>
      </c>
      <c r="I98" s="31">
        <f t="shared" si="1"/>
        <v>92.53326572008113</v>
      </c>
    </row>
    <row r="99" spans="1:9" s="25" customFormat="1" ht="78" customHeight="1">
      <c r="A99" s="14" t="s">
        <v>141</v>
      </c>
      <c r="B99" s="6" t="s">
        <v>94</v>
      </c>
      <c r="C99" s="5" t="s">
        <v>10</v>
      </c>
      <c r="D99" s="5" t="s">
        <v>15</v>
      </c>
      <c r="E99" s="15" t="s">
        <v>137</v>
      </c>
      <c r="F99" s="15">
        <v>200</v>
      </c>
      <c r="G99" s="13">
        <f>25000+14000+3000</f>
        <v>42000</v>
      </c>
      <c r="H99" s="13">
        <v>42000</v>
      </c>
      <c r="I99" s="32">
        <f t="shared" si="1"/>
        <v>100</v>
      </c>
    </row>
    <row r="100" spans="1:9" s="25" customFormat="1" ht="115.5" customHeight="1">
      <c r="A100" s="16" t="s">
        <v>142</v>
      </c>
      <c r="B100" s="6" t="s">
        <v>94</v>
      </c>
      <c r="C100" s="5" t="s">
        <v>10</v>
      </c>
      <c r="D100" s="5" t="s">
        <v>15</v>
      </c>
      <c r="E100" s="15" t="s">
        <v>138</v>
      </c>
      <c r="F100" s="15">
        <v>200</v>
      </c>
      <c r="G100" s="13">
        <f>90000-5000</f>
        <v>85000</v>
      </c>
      <c r="H100" s="13">
        <v>85000</v>
      </c>
      <c r="I100" s="32">
        <f t="shared" si="1"/>
        <v>100</v>
      </c>
    </row>
    <row r="101" spans="1:9" s="25" customFormat="1" ht="84" customHeight="1">
      <c r="A101" s="14" t="s">
        <v>241</v>
      </c>
      <c r="B101" s="6" t="s">
        <v>94</v>
      </c>
      <c r="C101" s="5" t="s">
        <v>10</v>
      </c>
      <c r="D101" s="5" t="s">
        <v>15</v>
      </c>
      <c r="E101" s="15" t="s">
        <v>240</v>
      </c>
      <c r="F101" s="15">
        <v>200</v>
      </c>
      <c r="G101" s="13">
        <f>599993.81-360993.81</f>
        <v>239000.00000000006</v>
      </c>
      <c r="H101" s="13">
        <v>239000</v>
      </c>
      <c r="I101" s="32">
        <f t="shared" si="1"/>
        <v>99.99999999999997</v>
      </c>
    </row>
    <row r="102" spans="1:9" s="2" customFormat="1" ht="39.75" customHeight="1">
      <c r="A102" s="17" t="s">
        <v>76</v>
      </c>
      <c r="B102" s="5" t="s">
        <v>94</v>
      </c>
      <c r="C102" s="5" t="s">
        <v>10</v>
      </c>
      <c r="D102" s="5" t="s">
        <v>15</v>
      </c>
      <c r="E102" s="15" t="s">
        <v>77</v>
      </c>
      <c r="F102" s="15">
        <v>800</v>
      </c>
      <c r="G102" s="13">
        <f>70000</f>
        <v>70000</v>
      </c>
      <c r="H102" s="13">
        <v>33189</v>
      </c>
      <c r="I102" s="32">
        <f t="shared" si="1"/>
        <v>47.41285714285715</v>
      </c>
    </row>
    <row r="103" spans="1:9" s="2" customFormat="1" ht="76.5" customHeight="1">
      <c r="A103" s="14" t="s">
        <v>44</v>
      </c>
      <c r="B103" s="6" t="s">
        <v>94</v>
      </c>
      <c r="C103" s="5" t="s">
        <v>12</v>
      </c>
      <c r="D103" s="5" t="s">
        <v>21</v>
      </c>
      <c r="E103" s="15" t="s">
        <v>45</v>
      </c>
      <c r="F103" s="15">
        <v>200</v>
      </c>
      <c r="G103" s="13">
        <f>60000-3000</f>
        <v>57000</v>
      </c>
      <c r="H103" s="13">
        <v>57000</v>
      </c>
      <c r="I103" s="32">
        <f t="shared" si="1"/>
        <v>100</v>
      </c>
    </row>
    <row r="104" spans="1:9" s="11" customFormat="1" ht="41.25" customHeight="1">
      <c r="A104" s="24" t="s">
        <v>95</v>
      </c>
      <c r="B104" s="9" t="s">
        <v>96</v>
      </c>
      <c r="C104" s="9" t="s">
        <v>7</v>
      </c>
      <c r="D104" s="9" t="s">
        <v>7</v>
      </c>
      <c r="E104" s="22" t="s">
        <v>8</v>
      </c>
      <c r="F104" s="23" t="s">
        <v>9</v>
      </c>
      <c r="G104" s="10">
        <f>SUM(G105:G117)</f>
        <v>18246263.479999997</v>
      </c>
      <c r="H104" s="10">
        <f>SUM(H105:H117)</f>
        <v>17717209.57</v>
      </c>
      <c r="I104" s="31">
        <f t="shared" si="1"/>
        <v>97.1004808158125</v>
      </c>
    </row>
    <row r="105" spans="1:11" s="2" customFormat="1" ht="91.5" customHeight="1">
      <c r="A105" s="14" t="s">
        <v>123</v>
      </c>
      <c r="B105" s="6" t="s">
        <v>96</v>
      </c>
      <c r="C105" s="5" t="s">
        <v>12</v>
      </c>
      <c r="D105" s="5" t="s">
        <v>104</v>
      </c>
      <c r="E105" s="15" t="s">
        <v>122</v>
      </c>
      <c r="F105" s="6" t="s">
        <v>103</v>
      </c>
      <c r="G105" s="13">
        <f>340000</f>
        <v>340000</v>
      </c>
      <c r="H105" s="13">
        <v>270843.14</v>
      </c>
      <c r="I105" s="32">
        <f t="shared" si="1"/>
        <v>79.65974705882354</v>
      </c>
      <c r="K105" s="19"/>
    </row>
    <row r="106" spans="1:11" s="2" customFormat="1" ht="91.5" customHeight="1">
      <c r="A106" s="14" t="s">
        <v>206</v>
      </c>
      <c r="B106" s="6" t="s">
        <v>96</v>
      </c>
      <c r="C106" s="5" t="s">
        <v>12</v>
      </c>
      <c r="D106" s="5" t="s">
        <v>16</v>
      </c>
      <c r="E106" s="15" t="s">
        <v>204</v>
      </c>
      <c r="F106" s="6" t="s">
        <v>205</v>
      </c>
      <c r="G106" s="13">
        <f>3857055.68-3514208.08-28358.3</f>
        <v>314489.3000000001</v>
      </c>
      <c r="H106" s="13">
        <v>314489.3</v>
      </c>
      <c r="I106" s="32">
        <f t="shared" si="1"/>
        <v>99.99999999999997</v>
      </c>
      <c r="K106" s="19"/>
    </row>
    <row r="107" spans="1:9" ht="96" customHeight="1">
      <c r="A107" s="16" t="s">
        <v>199</v>
      </c>
      <c r="B107" s="6" t="s">
        <v>96</v>
      </c>
      <c r="C107" s="5" t="s">
        <v>12</v>
      </c>
      <c r="D107" s="5" t="s">
        <v>16</v>
      </c>
      <c r="E107" s="15" t="s">
        <v>200</v>
      </c>
      <c r="F107" s="15">
        <v>200</v>
      </c>
      <c r="G107" s="13">
        <f>3514208.08</f>
        <v>3514208.08</v>
      </c>
      <c r="H107" s="13">
        <v>3125803.83</v>
      </c>
      <c r="I107" s="32">
        <f t="shared" si="1"/>
        <v>88.94760238557075</v>
      </c>
    </row>
    <row r="108" spans="1:9" ht="62.25" customHeight="1">
      <c r="A108" s="16" t="s">
        <v>48</v>
      </c>
      <c r="B108" s="6" t="s">
        <v>96</v>
      </c>
      <c r="C108" s="5" t="s">
        <v>13</v>
      </c>
      <c r="D108" s="5" t="s">
        <v>10</v>
      </c>
      <c r="E108" s="15" t="s">
        <v>49</v>
      </c>
      <c r="F108" s="15">
        <v>200</v>
      </c>
      <c r="G108" s="13">
        <f>150000-80000</f>
        <v>70000</v>
      </c>
      <c r="H108" s="13">
        <v>70000</v>
      </c>
      <c r="I108" s="32">
        <f t="shared" si="1"/>
        <v>100</v>
      </c>
    </row>
    <row r="109" spans="1:9" ht="93.75" customHeight="1">
      <c r="A109" s="16" t="s">
        <v>50</v>
      </c>
      <c r="B109" s="6" t="s">
        <v>96</v>
      </c>
      <c r="C109" s="5" t="s">
        <v>13</v>
      </c>
      <c r="D109" s="5" t="s">
        <v>10</v>
      </c>
      <c r="E109" s="15" t="s">
        <v>51</v>
      </c>
      <c r="F109" s="15">
        <v>200</v>
      </c>
      <c r="G109" s="13">
        <f>1000000-0.01-191461.68-500000+146050</f>
        <v>454588.31000000006</v>
      </c>
      <c r="H109" s="13">
        <v>385809.2</v>
      </c>
      <c r="I109" s="32">
        <f t="shared" si="1"/>
        <v>84.87002228455896</v>
      </c>
    </row>
    <row r="110" spans="1:9" ht="59.25" customHeight="1">
      <c r="A110" s="16" t="s">
        <v>52</v>
      </c>
      <c r="B110" s="6" t="s">
        <v>96</v>
      </c>
      <c r="C110" s="5" t="s">
        <v>13</v>
      </c>
      <c r="D110" s="5" t="s">
        <v>10</v>
      </c>
      <c r="E110" s="15" t="s">
        <v>53</v>
      </c>
      <c r="F110" s="15">
        <v>200</v>
      </c>
      <c r="G110" s="13">
        <f>90103+17076.2-11446.9</f>
        <v>95732.3</v>
      </c>
      <c r="H110" s="13">
        <v>95732.3</v>
      </c>
      <c r="I110" s="32">
        <f t="shared" si="1"/>
        <v>100</v>
      </c>
    </row>
    <row r="111" spans="1:9" ht="208.5" customHeight="1">
      <c r="A111" s="16" t="s">
        <v>89</v>
      </c>
      <c r="B111" s="6" t="s">
        <v>96</v>
      </c>
      <c r="C111" s="5" t="s">
        <v>13</v>
      </c>
      <c r="D111" s="5" t="s">
        <v>10</v>
      </c>
      <c r="E111" s="15" t="s">
        <v>90</v>
      </c>
      <c r="F111" s="15">
        <v>800</v>
      </c>
      <c r="G111" s="13">
        <f>300000+27227.23+191461.68</f>
        <v>518688.91</v>
      </c>
      <c r="H111" s="13">
        <v>515975.41</v>
      </c>
      <c r="I111" s="32">
        <f t="shared" si="1"/>
        <v>99.47685405496716</v>
      </c>
    </row>
    <row r="112" spans="1:9" ht="62.25" customHeight="1">
      <c r="A112" s="14" t="s">
        <v>79</v>
      </c>
      <c r="B112" s="6" t="s">
        <v>96</v>
      </c>
      <c r="C112" s="5" t="s">
        <v>13</v>
      </c>
      <c r="D112" s="5" t="s">
        <v>11</v>
      </c>
      <c r="E112" s="15" t="s">
        <v>81</v>
      </c>
      <c r="F112" s="15">
        <v>200</v>
      </c>
      <c r="G112" s="13">
        <f>353572+41000+579078.36-264232+1916900+500000+568385.02+71958.08</f>
        <v>3766661.46</v>
      </c>
      <c r="H112" s="13">
        <v>3766661.27</v>
      </c>
      <c r="I112" s="32">
        <f t="shared" si="1"/>
        <v>99.99999495574524</v>
      </c>
    </row>
    <row r="113" spans="1:9" ht="114.75" customHeight="1">
      <c r="A113" s="16" t="s">
        <v>80</v>
      </c>
      <c r="B113" s="6" t="s">
        <v>96</v>
      </c>
      <c r="C113" s="5" t="s">
        <v>13</v>
      </c>
      <c r="D113" s="5" t="s">
        <v>11</v>
      </c>
      <c r="E113" s="15" t="s">
        <v>82</v>
      </c>
      <c r="F113" s="15">
        <v>200</v>
      </c>
      <c r="G113" s="13">
        <f>300000-146050</f>
        <v>153950</v>
      </c>
      <c r="H113" s="13">
        <v>153950</v>
      </c>
      <c r="I113" s="32">
        <f t="shared" si="1"/>
        <v>100</v>
      </c>
    </row>
    <row r="114" spans="1:9" ht="60.75" customHeight="1">
      <c r="A114" s="16" t="s">
        <v>194</v>
      </c>
      <c r="B114" s="6" t="s">
        <v>96</v>
      </c>
      <c r="C114" s="5" t="s">
        <v>13</v>
      </c>
      <c r="D114" s="5" t="s">
        <v>11</v>
      </c>
      <c r="E114" s="15" t="s">
        <v>193</v>
      </c>
      <c r="F114" s="15">
        <v>200</v>
      </c>
      <c r="G114" s="13">
        <f>8099100.17-110958.08-2115890.4-404.57</f>
        <v>5871847.119999999</v>
      </c>
      <c r="H114" s="13">
        <v>5871847.12</v>
      </c>
      <c r="I114" s="32">
        <f t="shared" si="1"/>
        <v>100.00000000000003</v>
      </c>
    </row>
    <row r="115" spans="1:9" ht="95.25" customHeight="1">
      <c r="A115" s="16" t="s">
        <v>54</v>
      </c>
      <c r="B115" s="6" t="s">
        <v>96</v>
      </c>
      <c r="C115" s="5" t="s">
        <v>13</v>
      </c>
      <c r="D115" s="5" t="s">
        <v>11</v>
      </c>
      <c r="E115" s="15" t="s">
        <v>55</v>
      </c>
      <c r="F115" s="15">
        <v>800</v>
      </c>
      <c r="G115" s="13">
        <f>2400000</f>
        <v>2400000</v>
      </c>
      <c r="H115" s="13">
        <v>2400000</v>
      </c>
      <c r="I115" s="32">
        <f t="shared" si="1"/>
        <v>100</v>
      </c>
    </row>
    <row r="116" spans="1:9" ht="58.5" customHeight="1">
      <c r="A116" s="16" t="s">
        <v>106</v>
      </c>
      <c r="B116" s="6" t="s">
        <v>96</v>
      </c>
      <c r="C116" s="5" t="s">
        <v>13</v>
      </c>
      <c r="D116" s="5" t="s">
        <v>18</v>
      </c>
      <c r="E116" s="15" t="s">
        <v>105</v>
      </c>
      <c r="F116" s="15">
        <v>200</v>
      </c>
      <c r="G116" s="13">
        <f>230803+125891.98+15696.57+33552.45+48100-37666</f>
        <v>416378</v>
      </c>
      <c r="H116" s="13">
        <v>416378</v>
      </c>
      <c r="I116" s="32">
        <f t="shared" si="1"/>
        <v>100</v>
      </c>
    </row>
    <row r="117" spans="1:9" ht="77.25" customHeight="1">
      <c r="A117" s="16" t="s">
        <v>155</v>
      </c>
      <c r="B117" s="6" t="s">
        <v>96</v>
      </c>
      <c r="C117" s="5" t="s">
        <v>13</v>
      </c>
      <c r="D117" s="5" t="s">
        <v>18</v>
      </c>
      <c r="E117" s="15" t="s">
        <v>156</v>
      </c>
      <c r="F117" s="15">
        <v>400</v>
      </c>
      <c r="G117" s="13">
        <f>269860+59860</f>
        <v>329720</v>
      </c>
      <c r="H117" s="13">
        <v>329720</v>
      </c>
      <c r="I117" s="32">
        <f t="shared" si="1"/>
        <v>100</v>
      </c>
    </row>
    <row r="118" spans="1:9" s="11" customFormat="1" ht="37.5" customHeight="1">
      <c r="A118" s="21" t="s">
        <v>248</v>
      </c>
      <c r="B118" s="22">
        <v>810</v>
      </c>
      <c r="C118" s="9" t="s">
        <v>7</v>
      </c>
      <c r="D118" s="9" t="s">
        <v>7</v>
      </c>
      <c r="E118" s="9" t="s">
        <v>8</v>
      </c>
      <c r="F118" s="9" t="s">
        <v>9</v>
      </c>
      <c r="G118" s="26">
        <f>SUM(G119:G123)</f>
        <v>2883343.8899999997</v>
      </c>
      <c r="H118" s="26">
        <f>SUM(H119:H123)</f>
        <v>2881051.7699999996</v>
      </c>
      <c r="I118" s="31">
        <f t="shared" si="1"/>
        <v>99.92050479972404</v>
      </c>
    </row>
    <row r="119" spans="1:9" ht="114.75" customHeight="1">
      <c r="A119" s="14" t="s">
        <v>27</v>
      </c>
      <c r="B119" s="15">
        <v>810</v>
      </c>
      <c r="C119" s="5" t="s">
        <v>10</v>
      </c>
      <c r="D119" s="5" t="s">
        <v>11</v>
      </c>
      <c r="E119" s="15" t="s">
        <v>61</v>
      </c>
      <c r="F119" s="15">
        <v>100</v>
      </c>
      <c r="G119" s="27">
        <f>848121.96+11025.59+96654.1-53797</f>
        <v>902004.6499999999</v>
      </c>
      <c r="H119" s="27">
        <v>900595.46</v>
      </c>
      <c r="I119" s="32">
        <f t="shared" si="1"/>
        <v>99.84377131536961</v>
      </c>
    </row>
    <row r="120" spans="1:9" ht="112.5" customHeight="1">
      <c r="A120" s="14" t="s">
        <v>28</v>
      </c>
      <c r="B120" s="15">
        <v>810</v>
      </c>
      <c r="C120" s="5" t="s">
        <v>10</v>
      </c>
      <c r="D120" s="5" t="s">
        <v>18</v>
      </c>
      <c r="E120" s="15" t="s">
        <v>62</v>
      </c>
      <c r="F120" s="15">
        <v>100</v>
      </c>
      <c r="G120" s="27">
        <f>1243500.8+6444.12+2132.7+30713+9287+15386.4+135140+6329.68</f>
        <v>1448933.7</v>
      </c>
      <c r="H120" s="27">
        <v>1448606.51</v>
      </c>
      <c r="I120" s="32">
        <f t="shared" si="1"/>
        <v>99.9774185664948</v>
      </c>
    </row>
    <row r="121" spans="1:9" ht="75.75" customHeight="1">
      <c r="A121" s="14" t="s">
        <v>29</v>
      </c>
      <c r="B121" s="15">
        <v>810</v>
      </c>
      <c r="C121" s="5" t="s">
        <v>10</v>
      </c>
      <c r="D121" s="5" t="s">
        <v>18</v>
      </c>
      <c r="E121" s="15" t="s">
        <v>62</v>
      </c>
      <c r="F121" s="15">
        <v>200</v>
      </c>
      <c r="G121" s="27">
        <f>484466+30415.54-40000+20000-68216.54</f>
        <v>426665</v>
      </c>
      <c r="H121" s="27">
        <v>426109.26</v>
      </c>
      <c r="I121" s="32">
        <f t="shared" si="1"/>
        <v>99.86974792870285</v>
      </c>
    </row>
    <row r="122" spans="1:9" ht="75.75" customHeight="1">
      <c r="A122" s="14" t="s">
        <v>202</v>
      </c>
      <c r="B122" s="15">
        <v>810</v>
      </c>
      <c r="C122" s="5" t="s">
        <v>10</v>
      </c>
      <c r="D122" s="5" t="s">
        <v>18</v>
      </c>
      <c r="E122" s="15" t="s">
        <v>201</v>
      </c>
      <c r="F122" s="15">
        <v>200</v>
      </c>
      <c r="G122" s="27">
        <f>68216.54</f>
        <v>68216.54</v>
      </c>
      <c r="H122" s="27">
        <v>68216.54</v>
      </c>
      <c r="I122" s="32">
        <f t="shared" si="1"/>
        <v>100</v>
      </c>
    </row>
    <row r="123" spans="1:9" ht="39.75" customHeight="1">
      <c r="A123" s="14" t="s">
        <v>85</v>
      </c>
      <c r="B123" s="15">
        <v>810</v>
      </c>
      <c r="C123" s="5" t="s">
        <v>10</v>
      </c>
      <c r="D123" s="5" t="s">
        <v>15</v>
      </c>
      <c r="E123" s="15" t="s">
        <v>86</v>
      </c>
      <c r="F123" s="15">
        <v>800</v>
      </c>
      <c r="G123" s="13">
        <f>31840+5684</f>
        <v>37524</v>
      </c>
      <c r="H123" s="13">
        <v>37524</v>
      </c>
      <c r="I123" s="32">
        <f t="shared" si="1"/>
        <v>100</v>
      </c>
    </row>
    <row r="124" spans="1:9" s="11" customFormat="1" ht="27.75" customHeight="1">
      <c r="A124" s="41" t="s">
        <v>23</v>
      </c>
      <c r="B124" s="42"/>
      <c r="C124" s="42"/>
      <c r="D124" s="42"/>
      <c r="E124" s="42"/>
      <c r="F124" s="43"/>
      <c r="G124" s="10">
        <f>G13+G94+G118+G104+G98</f>
        <v>158384786.04999995</v>
      </c>
      <c r="H124" s="10">
        <f>H13+H94+H118+H104+H98</f>
        <v>148958469.9</v>
      </c>
      <c r="I124" s="31">
        <f t="shared" si="1"/>
        <v>94.04847120415708</v>
      </c>
    </row>
    <row r="125" spans="1:8" s="11" customFormat="1" ht="27.75" customHeight="1">
      <c r="A125" s="28"/>
      <c r="B125" s="28"/>
      <c r="C125" s="28"/>
      <c r="D125" s="28"/>
      <c r="E125" s="28"/>
      <c r="F125" s="28"/>
      <c r="G125" s="28"/>
      <c r="H125" s="29"/>
    </row>
    <row r="126" spans="1:8" s="11" customFormat="1" ht="27.75" customHeight="1">
      <c r="A126" s="28"/>
      <c r="B126" s="28"/>
      <c r="C126" s="28"/>
      <c r="D126" s="28"/>
      <c r="E126" s="28"/>
      <c r="F126" s="28"/>
      <c r="G126" s="28"/>
      <c r="H126" s="29"/>
    </row>
    <row r="127" spans="2:7" ht="18.75">
      <c r="B127" s="1"/>
      <c r="C127" s="1"/>
      <c r="D127" s="1"/>
      <c r="E127" s="1"/>
      <c r="F127" s="1"/>
      <c r="G127" s="1"/>
    </row>
    <row r="128" spans="2:7" ht="18.75">
      <c r="B128" s="1"/>
      <c r="C128" s="1"/>
      <c r="D128" s="1"/>
      <c r="E128" s="1"/>
      <c r="F128" s="1"/>
      <c r="G128" s="1"/>
    </row>
    <row r="129" spans="2:7" ht="18.75">
      <c r="B129" s="1"/>
      <c r="C129" s="1"/>
      <c r="D129" s="1"/>
      <c r="E129" s="1"/>
      <c r="F129" s="1"/>
      <c r="G129" s="1"/>
    </row>
    <row r="130" spans="2:7" ht="18.75">
      <c r="B130" s="1"/>
      <c r="C130" s="1"/>
      <c r="D130" s="1"/>
      <c r="E130" s="1"/>
      <c r="F130" s="1"/>
      <c r="G130" s="1"/>
    </row>
    <row r="131" spans="2:7" ht="18.75">
      <c r="B131" s="1"/>
      <c r="C131" s="1"/>
      <c r="D131" s="1"/>
      <c r="E131" s="1"/>
      <c r="F131" s="1"/>
      <c r="G131" s="1"/>
    </row>
    <row r="132" spans="2:7" ht="18.75">
      <c r="B132" s="1"/>
      <c r="C132" s="1"/>
      <c r="D132" s="1"/>
      <c r="E132" s="1"/>
      <c r="F132" s="1"/>
      <c r="G132" s="1"/>
    </row>
    <row r="133" spans="2:7" ht="18.75">
      <c r="B133" s="1"/>
      <c r="C133" s="1"/>
      <c r="D133" s="1"/>
      <c r="E133" s="1"/>
      <c r="F133" s="1"/>
      <c r="G133" s="1"/>
    </row>
    <row r="134" spans="2:7" ht="18.75">
      <c r="B134" s="1"/>
      <c r="C134" s="1"/>
      <c r="D134" s="1"/>
      <c r="E134" s="1"/>
      <c r="F134" s="1"/>
      <c r="G134" s="1"/>
    </row>
    <row r="135" spans="2:7" ht="18.75">
      <c r="B135" s="1"/>
      <c r="C135" s="1"/>
      <c r="D135" s="1"/>
      <c r="E135" s="1"/>
      <c r="F135" s="1"/>
      <c r="G135" s="1"/>
    </row>
    <row r="136" spans="2:7" ht="18.75">
      <c r="B136" s="1"/>
      <c r="C136" s="1"/>
      <c r="D136" s="1"/>
      <c r="E136" s="1"/>
      <c r="F136" s="1"/>
      <c r="G136" s="1"/>
    </row>
    <row r="137" spans="2:7" ht="18.75">
      <c r="B137" s="1"/>
      <c r="C137" s="1"/>
      <c r="D137" s="1"/>
      <c r="E137" s="1"/>
      <c r="F137" s="1"/>
      <c r="G137" s="1"/>
    </row>
    <row r="138" spans="2:7" ht="18.75">
      <c r="B138" s="1"/>
      <c r="C138" s="1"/>
      <c r="D138" s="1"/>
      <c r="E138" s="1"/>
      <c r="F138" s="1"/>
      <c r="G138" s="1"/>
    </row>
    <row r="139" spans="2:7" ht="18.75">
      <c r="B139" s="1"/>
      <c r="C139" s="1"/>
      <c r="D139" s="1"/>
      <c r="E139" s="1"/>
      <c r="F139" s="1"/>
      <c r="G139" s="1"/>
    </row>
    <row r="140" spans="2:7" ht="18.75">
      <c r="B140" s="1"/>
      <c r="C140" s="1"/>
      <c r="D140" s="1"/>
      <c r="E140" s="1"/>
      <c r="F140" s="1"/>
      <c r="G140" s="1"/>
    </row>
    <row r="141" spans="2:7" ht="18.75">
      <c r="B141" s="1"/>
      <c r="C141" s="1"/>
      <c r="D141" s="1"/>
      <c r="E141" s="1"/>
      <c r="F141" s="1"/>
      <c r="G141" s="1"/>
    </row>
    <row r="142" spans="2:7" ht="18.75">
      <c r="B142" s="1"/>
      <c r="C142" s="1"/>
      <c r="D142" s="1"/>
      <c r="E142" s="1"/>
      <c r="F142" s="1"/>
      <c r="G142" s="1"/>
    </row>
    <row r="143" spans="2:7" ht="18.75">
      <c r="B143" s="1"/>
      <c r="C143" s="1"/>
      <c r="D143" s="1"/>
      <c r="E143" s="1"/>
      <c r="F143" s="1"/>
      <c r="G143" s="1"/>
    </row>
    <row r="144" spans="2:7" ht="18.75">
      <c r="B144" s="1"/>
      <c r="C144" s="1"/>
      <c r="D144" s="1"/>
      <c r="E144" s="1"/>
      <c r="F144" s="1"/>
      <c r="G144" s="1"/>
    </row>
    <row r="145" spans="2:7" ht="18.75">
      <c r="B145" s="1"/>
      <c r="C145" s="1"/>
      <c r="D145" s="1"/>
      <c r="E145" s="1"/>
      <c r="F145" s="1"/>
      <c r="G145" s="1"/>
    </row>
    <row r="146" spans="2:7" ht="18.75">
      <c r="B146" s="1"/>
      <c r="C146" s="1"/>
      <c r="D146" s="1"/>
      <c r="E146" s="1"/>
      <c r="F146" s="1"/>
      <c r="G146" s="1"/>
    </row>
    <row r="147" spans="2:7" ht="18.75">
      <c r="B147" s="1"/>
      <c r="C147" s="1"/>
      <c r="D147" s="1"/>
      <c r="E147" s="1"/>
      <c r="F147" s="1"/>
      <c r="G147" s="1"/>
    </row>
    <row r="148" spans="2:7" ht="18.75">
      <c r="B148" s="1"/>
      <c r="C148" s="1"/>
      <c r="D148" s="1"/>
      <c r="E148" s="1"/>
      <c r="F148" s="1"/>
      <c r="G148" s="1"/>
    </row>
    <row r="149" spans="2:7" ht="18.75">
      <c r="B149" s="1"/>
      <c r="C149" s="1"/>
      <c r="D149" s="1"/>
      <c r="E149" s="1"/>
      <c r="F149" s="1"/>
      <c r="G149" s="1"/>
    </row>
    <row r="150" spans="2:7" ht="18.75">
      <c r="B150" s="1"/>
      <c r="C150" s="1"/>
      <c r="D150" s="1"/>
      <c r="E150" s="1"/>
      <c r="F150" s="1"/>
      <c r="G150" s="1"/>
    </row>
    <row r="151" spans="2:7" ht="18.75">
      <c r="B151" s="1"/>
      <c r="C151" s="1"/>
      <c r="D151" s="1"/>
      <c r="E151" s="1"/>
      <c r="F151" s="1"/>
      <c r="G151" s="1"/>
    </row>
    <row r="152" spans="2:7" ht="18.75">
      <c r="B152" s="1"/>
      <c r="C152" s="1"/>
      <c r="D152" s="1"/>
      <c r="E152" s="1"/>
      <c r="F152" s="1"/>
      <c r="G152" s="1"/>
    </row>
    <row r="153" spans="2:7" ht="18.75">
      <c r="B153" s="1"/>
      <c r="C153" s="1"/>
      <c r="D153" s="1"/>
      <c r="E153" s="1"/>
      <c r="F153" s="1"/>
      <c r="G153" s="1"/>
    </row>
    <row r="154" spans="2:7" ht="18.75">
      <c r="B154" s="1"/>
      <c r="C154" s="1"/>
      <c r="D154" s="1"/>
      <c r="E154" s="1"/>
      <c r="F154" s="1"/>
      <c r="G154" s="1"/>
    </row>
    <row r="155" spans="2:7" ht="18.75">
      <c r="B155" s="1"/>
      <c r="C155" s="1"/>
      <c r="D155" s="1"/>
      <c r="E155" s="1"/>
      <c r="F155" s="1"/>
      <c r="G155" s="1"/>
    </row>
    <row r="156" spans="2:7" ht="18.75">
      <c r="B156" s="1"/>
      <c r="C156" s="1"/>
      <c r="D156" s="1"/>
      <c r="E156" s="1"/>
      <c r="F156" s="1"/>
      <c r="G156" s="1"/>
    </row>
    <row r="157" spans="2:7" ht="18.75">
      <c r="B157" s="1"/>
      <c r="C157" s="1"/>
      <c r="D157" s="1"/>
      <c r="E157" s="1"/>
      <c r="F157" s="1"/>
      <c r="G157" s="1"/>
    </row>
    <row r="158" spans="2:7" ht="18.75">
      <c r="B158" s="1"/>
      <c r="C158" s="1"/>
      <c r="D158" s="1"/>
      <c r="E158" s="1"/>
      <c r="F158" s="1"/>
      <c r="G158" s="1"/>
    </row>
    <row r="159" spans="2:7" ht="18.75">
      <c r="B159" s="1"/>
      <c r="C159" s="1"/>
      <c r="D159" s="1"/>
      <c r="E159" s="1"/>
      <c r="F159" s="1"/>
      <c r="G159" s="1"/>
    </row>
    <row r="160" spans="2:7" ht="18.75">
      <c r="B160" s="1"/>
      <c r="C160" s="1"/>
      <c r="D160" s="1"/>
      <c r="E160" s="1"/>
      <c r="F160" s="1"/>
      <c r="G160" s="1"/>
    </row>
    <row r="161" spans="2:7" ht="18.75">
      <c r="B161" s="1"/>
      <c r="C161" s="1"/>
      <c r="D161" s="1"/>
      <c r="E161" s="1"/>
      <c r="F161" s="1"/>
      <c r="G161" s="1"/>
    </row>
    <row r="162" spans="2:7" ht="18.75">
      <c r="B162" s="1"/>
      <c r="C162" s="1"/>
      <c r="D162" s="1"/>
      <c r="E162" s="1"/>
      <c r="F162" s="1"/>
      <c r="G162" s="1"/>
    </row>
    <row r="163" spans="2:7" ht="18.75">
      <c r="B163" s="1"/>
      <c r="C163" s="1"/>
      <c r="D163" s="1"/>
      <c r="E163" s="1"/>
      <c r="F163" s="1"/>
      <c r="G163" s="1"/>
    </row>
    <row r="164" spans="2:7" ht="18.75">
      <c r="B164" s="1"/>
      <c r="C164" s="1"/>
      <c r="D164" s="1"/>
      <c r="E164" s="1"/>
      <c r="F164" s="1"/>
      <c r="G164" s="1"/>
    </row>
    <row r="165" spans="2:7" ht="18.75">
      <c r="B165" s="1"/>
      <c r="C165" s="1"/>
      <c r="D165" s="1"/>
      <c r="E165" s="1"/>
      <c r="F165" s="1"/>
      <c r="G165" s="1"/>
    </row>
    <row r="166" spans="2:7" ht="18.75">
      <c r="B166" s="1"/>
      <c r="C166" s="1"/>
      <c r="D166" s="1"/>
      <c r="E166" s="1"/>
      <c r="F166" s="1"/>
      <c r="G166" s="1"/>
    </row>
    <row r="167" spans="2:7" ht="18.75">
      <c r="B167" s="1"/>
      <c r="C167" s="1"/>
      <c r="D167" s="1"/>
      <c r="E167" s="1"/>
      <c r="F167" s="1"/>
      <c r="G167" s="1"/>
    </row>
    <row r="168" spans="2:7" ht="18.75">
      <c r="B168" s="1"/>
      <c r="C168" s="1"/>
      <c r="D168" s="1"/>
      <c r="E168" s="1"/>
      <c r="F168" s="1"/>
      <c r="G168" s="1"/>
    </row>
    <row r="169" spans="2:7" ht="18.75">
      <c r="B169" s="1"/>
      <c r="C169" s="1"/>
      <c r="D169" s="1"/>
      <c r="E169" s="1"/>
      <c r="F169" s="1"/>
      <c r="G169" s="1"/>
    </row>
    <row r="170" spans="2:7" ht="18.75">
      <c r="B170" s="1"/>
      <c r="C170" s="1"/>
      <c r="D170" s="1"/>
      <c r="E170" s="1"/>
      <c r="F170" s="1"/>
      <c r="G170" s="1"/>
    </row>
    <row r="171" spans="2:7" ht="18.75">
      <c r="B171" s="1"/>
      <c r="C171" s="1"/>
      <c r="D171" s="1"/>
      <c r="E171" s="1"/>
      <c r="F171" s="1"/>
      <c r="G171" s="1"/>
    </row>
    <row r="172" spans="2:7" ht="18.75">
      <c r="B172" s="1"/>
      <c r="C172" s="1"/>
      <c r="D172" s="1"/>
      <c r="E172" s="1"/>
      <c r="F172" s="1"/>
      <c r="G172" s="1"/>
    </row>
    <row r="173" spans="2:7" ht="18.75">
      <c r="B173" s="1"/>
      <c r="C173" s="1"/>
      <c r="D173" s="1"/>
      <c r="E173" s="1"/>
      <c r="F173" s="1"/>
      <c r="G173" s="1"/>
    </row>
    <row r="174" spans="2:7" ht="18.75">
      <c r="B174" s="1"/>
      <c r="C174" s="1"/>
      <c r="D174" s="1"/>
      <c r="E174" s="1"/>
      <c r="F174" s="1"/>
      <c r="G174" s="1"/>
    </row>
    <row r="175" spans="2:7" ht="18.75">
      <c r="B175" s="1"/>
      <c r="C175" s="1"/>
      <c r="D175" s="1"/>
      <c r="E175" s="1"/>
      <c r="F175" s="1"/>
      <c r="G175" s="1"/>
    </row>
    <row r="176" spans="2:7" ht="18.75">
      <c r="B176" s="1"/>
      <c r="C176" s="1"/>
      <c r="D176" s="1"/>
      <c r="E176" s="1"/>
      <c r="F176" s="1"/>
      <c r="G176" s="1"/>
    </row>
    <row r="177" spans="2:7" ht="18.75">
      <c r="B177" s="1"/>
      <c r="C177" s="1"/>
      <c r="D177" s="1"/>
      <c r="E177" s="1"/>
      <c r="F177" s="1"/>
      <c r="G177" s="1"/>
    </row>
    <row r="178" spans="2:7" ht="18.75">
      <c r="B178" s="1"/>
      <c r="C178" s="1"/>
      <c r="D178" s="1"/>
      <c r="E178" s="1"/>
      <c r="F178" s="1"/>
      <c r="G178" s="1"/>
    </row>
    <row r="179" spans="2:7" ht="18.75">
      <c r="B179" s="1"/>
      <c r="C179" s="1"/>
      <c r="D179" s="1"/>
      <c r="E179" s="1"/>
      <c r="F179" s="1"/>
      <c r="G179" s="1"/>
    </row>
    <row r="180" spans="2:7" ht="18.75">
      <c r="B180" s="1"/>
      <c r="C180" s="1"/>
      <c r="D180" s="1"/>
      <c r="E180" s="1"/>
      <c r="F180" s="1"/>
      <c r="G180" s="1"/>
    </row>
    <row r="181" spans="2:7" ht="18.75">
      <c r="B181" s="1"/>
      <c r="C181" s="1"/>
      <c r="D181" s="1"/>
      <c r="E181" s="1"/>
      <c r="F181" s="1"/>
      <c r="G181" s="1"/>
    </row>
    <row r="182" spans="2:7" ht="18.75">
      <c r="B182" s="1"/>
      <c r="C182" s="1"/>
      <c r="D182" s="1"/>
      <c r="E182" s="1"/>
      <c r="F182" s="1"/>
      <c r="G182" s="1"/>
    </row>
    <row r="183" spans="2:7" ht="18.75">
      <c r="B183" s="1"/>
      <c r="C183" s="1"/>
      <c r="D183" s="1"/>
      <c r="E183" s="1"/>
      <c r="F183" s="1"/>
      <c r="G183" s="1"/>
    </row>
    <row r="184" spans="2:7" ht="18.75">
      <c r="B184" s="1"/>
      <c r="C184" s="1"/>
      <c r="D184" s="1"/>
      <c r="E184" s="1"/>
      <c r="F184" s="1"/>
      <c r="G184" s="1"/>
    </row>
    <row r="185" spans="2:7" ht="18.75">
      <c r="B185" s="1"/>
      <c r="C185" s="1"/>
      <c r="D185" s="1"/>
      <c r="E185" s="1"/>
      <c r="F185" s="1"/>
      <c r="G185" s="1"/>
    </row>
    <row r="186" spans="2:7" ht="18.75">
      <c r="B186" s="1"/>
      <c r="C186" s="1"/>
      <c r="D186" s="1"/>
      <c r="E186" s="1"/>
      <c r="F186" s="1"/>
      <c r="G186" s="1"/>
    </row>
    <row r="187" spans="2:7" ht="18.75">
      <c r="B187" s="1"/>
      <c r="C187" s="1"/>
      <c r="D187" s="1"/>
      <c r="E187" s="1"/>
      <c r="F187" s="1"/>
      <c r="G187" s="1"/>
    </row>
    <row r="188" spans="2:7" ht="18.75">
      <c r="B188" s="1"/>
      <c r="C188" s="1"/>
      <c r="D188" s="1"/>
      <c r="E188" s="1"/>
      <c r="F188" s="1"/>
      <c r="G188" s="1"/>
    </row>
    <row r="189" spans="2:7" ht="18.75">
      <c r="B189" s="1"/>
      <c r="C189" s="1"/>
      <c r="D189" s="1"/>
      <c r="E189" s="1"/>
      <c r="F189" s="1"/>
      <c r="G189" s="1"/>
    </row>
    <row r="190" spans="2:7" ht="18.75">
      <c r="B190" s="1"/>
      <c r="C190" s="1"/>
      <c r="D190" s="1"/>
      <c r="E190" s="1"/>
      <c r="F190" s="1"/>
      <c r="G190" s="1"/>
    </row>
    <row r="191" spans="2:7" ht="18.75">
      <c r="B191" s="1"/>
      <c r="C191" s="1"/>
      <c r="D191" s="1"/>
      <c r="E191" s="1"/>
      <c r="F191" s="1"/>
      <c r="G191" s="1"/>
    </row>
    <row r="192" spans="2:7" ht="18.75">
      <c r="B192" s="1"/>
      <c r="C192" s="1"/>
      <c r="D192" s="1"/>
      <c r="E192" s="1"/>
      <c r="F192" s="1"/>
      <c r="G192" s="1"/>
    </row>
    <row r="193" spans="2:7" ht="18.75">
      <c r="B193" s="1"/>
      <c r="C193" s="1"/>
      <c r="D193" s="1"/>
      <c r="E193" s="1"/>
      <c r="F193" s="1"/>
      <c r="G193" s="1"/>
    </row>
    <row r="194" spans="2:7" ht="18.75">
      <c r="B194" s="1"/>
      <c r="C194" s="1"/>
      <c r="D194" s="1"/>
      <c r="E194" s="1"/>
      <c r="F194" s="1"/>
      <c r="G194" s="1"/>
    </row>
    <row r="195" spans="2:7" ht="18.75">
      <c r="B195" s="1"/>
      <c r="C195" s="1"/>
      <c r="D195" s="1"/>
      <c r="E195" s="1"/>
      <c r="F195" s="1"/>
      <c r="G195" s="1"/>
    </row>
    <row r="196" spans="2:7" ht="18.75">
      <c r="B196" s="1"/>
      <c r="C196" s="1"/>
      <c r="D196" s="1"/>
      <c r="E196" s="1"/>
      <c r="F196" s="1"/>
      <c r="G196" s="1"/>
    </row>
    <row r="197" spans="2:7" ht="18.75">
      <c r="B197" s="1"/>
      <c r="C197" s="1"/>
      <c r="D197" s="1"/>
      <c r="E197" s="1"/>
      <c r="F197" s="1"/>
      <c r="G197" s="1"/>
    </row>
    <row r="198" spans="2:7" ht="18.75">
      <c r="B198" s="1"/>
      <c r="C198" s="1"/>
      <c r="D198" s="1"/>
      <c r="E198" s="1"/>
      <c r="F198" s="1"/>
      <c r="G198" s="1"/>
    </row>
    <row r="199" spans="2:7" ht="18.75">
      <c r="B199" s="1"/>
      <c r="C199" s="1"/>
      <c r="D199" s="1"/>
      <c r="E199" s="1"/>
      <c r="F199" s="1"/>
      <c r="G199" s="1"/>
    </row>
    <row r="200" spans="2:7" ht="18.75">
      <c r="B200" s="1"/>
      <c r="C200" s="1"/>
      <c r="D200" s="1"/>
      <c r="E200" s="1"/>
      <c r="F200" s="1"/>
      <c r="G200" s="1"/>
    </row>
    <row r="201" spans="2:7" ht="18.75">
      <c r="B201" s="1"/>
      <c r="C201" s="1"/>
      <c r="D201" s="1"/>
      <c r="E201" s="1"/>
      <c r="F201" s="1"/>
      <c r="G201" s="1"/>
    </row>
    <row r="202" spans="2:7" ht="18.75">
      <c r="B202" s="1"/>
      <c r="C202" s="1"/>
      <c r="D202" s="1"/>
      <c r="E202" s="1"/>
      <c r="F202" s="1"/>
      <c r="G202" s="1"/>
    </row>
    <row r="203" spans="2:7" ht="18.75">
      <c r="B203" s="1"/>
      <c r="C203" s="1"/>
      <c r="D203" s="1"/>
      <c r="E203" s="1"/>
      <c r="F203" s="1"/>
      <c r="G203" s="1"/>
    </row>
    <row r="204" spans="2:7" ht="18.75">
      <c r="B204" s="1"/>
      <c r="C204" s="1"/>
      <c r="D204" s="1"/>
      <c r="E204" s="1"/>
      <c r="F204" s="1"/>
      <c r="G204" s="1"/>
    </row>
    <row r="205" spans="2:7" ht="18.75">
      <c r="B205" s="1"/>
      <c r="C205" s="1"/>
      <c r="D205" s="1"/>
      <c r="E205" s="1"/>
      <c r="F205" s="1"/>
      <c r="G205" s="1"/>
    </row>
    <row r="206" spans="2:7" ht="18.75">
      <c r="B206" s="1"/>
      <c r="C206" s="1"/>
      <c r="D206" s="1"/>
      <c r="E206" s="1"/>
      <c r="F206" s="1"/>
      <c r="G206" s="1"/>
    </row>
    <row r="207" spans="2:7" ht="18.75">
      <c r="B207" s="1"/>
      <c r="C207" s="1"/>
      <c r="D207" s="1"/>
      <c r="E207" s="1"/>
      <c r="F207" s="1"/>
      <c r="G207" s="1"/>
    </row>
    <row r="208" spans="2:7" ht="18.75">
      <c r="B208" s="1"/>
      <c r="C208" s="1"/>
      <c r="D208" s="1"/>
      <c r="E208" s="1"/>
      <c r="F208" s="1"/>
      <c r="G208" s="1"/>
    </row>
    <row r="209" spans="2:7" ht="18.75">
      <c r="B209" s="1"/>
      <c r="C209" s="1"/>
      <c r="D209" s="1"/>
      <c r="E209" s="1"/>
      <c r="F209" s="1"/>
      <c r="G209" s="1"/>
    </row>
    <row r="210" spans="2:7" ht="18.75">
      <c r="B210" s="1"/>
      <c r="C210" s="1"/>
      <c r="D210" s="1"/>
      <c r="E210" s="1"/>
      <c r="F210" s="1"/>
      <c r="G210" s="1"/>
    </row>
  </sheetData>
  <sheetProtection/>
  <mergeCells count="4">
    <mergeCell ref="F2:I2"/>
    <mergeCell ref="A9:I9"/>
    <mergeCell ref="A124:F124"/>
    <mergeCell ref="A1:I1"/>
  </mergeCells>
  <printOptions/>
  <pageMargins left="0.9055118110236221" right="0.1968503937007874" top="0.3937007874015748" bottom="0.3937007874015748" header="0.31496062992125984" footer="0.31496062992125984"/>
  <pageSetup horizontalDpi="600" verticalDpi="600" orientation="portrait"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2023-03-23T10:31:11Z</dcterms:modified>
  <cp:category/>
  <cp:version/>
  <cp:contentType/>
  <cp:contentStatus/>
</cp:coreProperties>
</file>