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<sst xmlns="http://schemas.openxmlformats.org/spreadsheetml/2006/main" count="84" uniqueCount="84">
  <si>
    <t>0100</t>
  </si>
  <si>
    <t>0102</t>
  </si>
  <si>
    <t>0103</t>
  </si>
  <si>
    <t>0105</t>
  </si>
  <si>
    <t>0107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</si>
  <si>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</si>
  <si>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</si>
  <si>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</si>
  <si>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</si>
  <si>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</si>
  <si>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</si>
  <si>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</si>
  <si>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</si>
  <si>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</si>
  <si>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</si>
  <si>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</si>
  <si>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0503</t>
  </si>
  <si>
    <t>0505</t>
  </si>
  <si>
    <t>0700</t>
  </si>
  <si>
    <t>0707</t>
  </si>
  <si>
    <t>0800</t>
  </si>
  <si>
    <t>0801</t>
  </si>
  <si>
    <t>1000</t>
  </si>
  <si>
    <t>1001</t>
  </si>
  <si>
    <t>1003</t>
  </si>
  <si>
    <t>1100</t>
  </si>
  <si>
    <t>1102</t>
  </si>
  <si>
    <t>1300</t>
  </si>
  <si>
    <t>1301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</si>
  <si>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</si>
  <si>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</si>
  <si>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</si>
  <si>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</si>
  <si>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</si>
  <si>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</si>
  <si>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</si>
  <si>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</si>
  <si>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</si>
  <si>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</si>
  <si>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</si>
  <si>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</si>
  <si>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</si>
  <si>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</si>
  <si>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</si>
  <si>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</si>
  <si>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</si>
  <si>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</si>
  <si>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</si>
  <si>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</si>
  <si>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</si>
  <si>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</si>
  <si>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</si>
  <si>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</si>
  <si>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</si>
  <si>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Проект на 2020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</si>
  <si>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</si>
  <si>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</si>
  <si>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</si>
  <si>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</si>
  <si>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</si>
  <si>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</si>
  <si>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</si>
  <si>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</si>
  <si>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</si>
  <si>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</si>
  <si>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</si>
  <si>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</si>
  <si>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</si>
  <si>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</si>
  <si>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</si>
  <si>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</si>
  <si>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</si>
  <si>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</si>
  <si>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</si>
  <si>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</si>
  <si>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</si>
  <si>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</si>
  <si>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2022 год к исполнению за 2018 год</t>
  </si>
  <si>
    <t>2022 год к ожидаемому исполнению за 2019 год</t>
  </si>
  <si>
    <t>0314</t>
  </si>
  <si>
    <t>Другие вопросы в области национальной безопасности и правоохранительной деятельности</t>
  </si>
  <si>
    <t>Сведения о расходах бюджета Южского городского поселения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</si>
  <si>
    <t xml:space="preserve">Проект на 2021 год </t>
  </si>
  <si>
    <t>Проект на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</si>
</sst>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5" fontId="46" fillId="0" borderId="2" xfId="83" applyNumberFormat="1" applyFont="1" applyFill="1" applyBorder="1" applyAlignment="1" applyProtection="1">
      <alignment horizontal="center" vertical="top" shrinkToFit="1"/>
      <protection/>
    </xf>
    <xf numFmtId="165" fontId="47" fillId="0" borderId="2" xfId="83" applyNumberFormat="1" applyFont="1" applyFill="1" applyBorder="1" applyAlignment="1" applyProtection="1">
      <alignment horizontal="center" vertical="top" shrinkToFit="1"/>
      <protection/>
    </xf>
    <xf numFmtId="4" fontId="47" fillId="0" borderId="2" xfId="52" applyNumberFormat="1" applyFont="1" applyFill="1" applyAlignment="1" applyProtection="1">
      <alignment horizontal="center" vertical="top" shrinkToFit="1"/>
      <protection/>
    </xf>
    <xf numFmtId="4" fontId="46" fillId="0" borderId="2" xfId="52" applyNumberFormat="1" applyFont="1" applyFill="1" applyAlignment="1" applyProtection="1">
      <alignment horizontal="center" vertical="top" shrinkToFit="1"/>
      <protection/>
    </xf>
    <xf numFmtId="4" fontId="46" fillId="0" borderId="2" xfId="51" applyNumberFormat="1" applyFont="1" applyFill="1" applyAlignment="1" applyProtection="1">
      <alignment horizontal="center" vertical="top" shrinkToFit="1"/>
      <protection/>
    </xf>
    <xf numFmtId="4" fontId="47" fillId="0" borderId="14" xfId="46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29" fillId="0" borderId="0" xfId="39" applyFill="1">
      <alignment horizontal="center"/>
      <protection/>
    </xf>
    <xf numFmtId="0" fontId="28" fillId="0" borderId="0" xfId="40" applyNumberFormat="1" applyFill="1" applyAlignment="1" applyProtection="1">
      <alignment vertical="top"/>
      <protection/>
    </xf>
    <xf numFmtId="0" fontId="28" fillId="0" borderId="0" xfId="40" applyFill="1" applyAlignment="1">
      <alignment/>
      <protection/>
    </xf>
    <xf numFmtId="0" fontId="46" fillId="0" borderId="0" xfId="40" applyFont="1" applyFill="1" applyAlignment="1">
      <alignment horizontal="right"/>
      <protection/>
    </xf>
    <xf numFmtId="0" fontId="47" fillId="0" borderId="2" xfId="42" applyNumberFormat="1" applyFont="1" applyFill="1" applyAlignment="1" applyProtection="1">
      <alignment horizontal="center" vertical="center" wrapText="1"/>
      <protection/>
    </xf>
    <xf numFmtId="0" fontId="47" fillId="0" borderId="2" xfId="42" applyNumberFormat="1" applyFont="1" applyFill="1" applyProtection="1">
      <alignment horizontal="center" vertical="center" wrapText="1"/>
      <protection/>
    </xf>
    <xf numFmtId="0" fontId="46" fillId="0" borderId="2" xfId="42" applyNumberFormat="1" applyFont="1" applyFill="1" applyAlignment="1" applyProtection="1">
      <alignment horizontal="center" vertical="top" wrapText="1"/>
      <protection/>
    </xf>
    <xf numFmtId="0" fontId="46" fillId="0" borderId="2" xfId="42" applyNumberFormat="1" applyFont="1" applyFill="1" applyProtection="1">
      <alignment horizontal="center" vertical="center" wrapText="1"/>
      <protection/>
    </xf>
    <xf numFmtId="0" fontId="47" fillId="0" borderId="2" xfId="50" applyNumberFormat="1" applyFont="1" applyFill="1" applyAlignment="1" applyProtection="1">
      <alignment vertical="top" wrapText="1"/>
      <protection/>
    </xf>
    <xf numFmtId="0" fontId="47" fillId="0" borderId="2" xfId="50" applyNumberFormat="1" applyFont="1" applyFill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Alignment="1" applyProtection="1">
      <alignment vertical="top" wrapText="1"/>
      <protection/>
    </xf>
    <xf numFmtId="0" fontId="46" fillId="0" borderId="2" xfId="50" applyNumberFormat="1" applyFont="1" applyFill="1" applyAlignment="1" applyProtection="1">
      <alignment horizontal="center" vertical="top" wrapText="1"/>
      <protection/>
    </xf>
    <xf numFmtId="49" fontId="46" fillId="0" borderId="2" xfId="50" applyNumberFormat="1" applyFont="1" applyFill="1" applyAlignment="1" applyProtection="1">
      <alignment horizontal="center" vertical="top" wrapText="1"/>
      <protection/>
    </xf>
    <xf numFmtId="0" fontId="28" fillId="0" borderId="0" xfId="49" applyFill="1">
      <alignment horizontal="left" wrapText="1"/>
      <protection/>
    </xf>
    <xf numFmtId="0" fontId="0" fillId="0" borderId="0" xfId="0" applyFill="1" applyAlignment="1" applyProtection="1">
      <alignment vertical="top"/>
      <protection locked="0"/>
    </xf>
    <xf numFmtId="164" fontId="0" fillId="0" borderId="0" xfId="0" applyNumberFormat="1" applyFill="1" applyAlignment="1" applyProtection="1">
      <alignment/>
      <protection locked="0"/>
    </xf>
    <xf numFmtId="4" fontId="2" fillId="0" borderId="2" xfId="52" applyNumberFormat="1" applyFont="1" applyFill="1" applyAlignment="1" applyProtection="1">
      <alignment horizontal="center" vertical="top" shrinkToFit="1"/>
      <protection/>
    </xf>
    <xf numFmtId="0" fontId="29" fillId="0" borderId="0" xfId="39" applyNumberFormat="1" applyFill="1" applyProtection="1">
      <alignment horizontal="center"/>
      <protection/>
    </xf>
    <xf numFmtId="0" fontId="29" fillId="0" borderId="0" xfId="39" applyFill="1">
      <alignment horizontal="center"/>
      <protection/>
    </xf>
    <xf numFmtId="0" fontId="47" fillId="0" borderId="14" xfId="45" applyNumberFormat="1" applyFont="1" applyFill="1" applyBorder="1" applyProtection="1">
      <alignment horizontal="right"/>
      <protection/>
    </xf>
    <xf numFmtId="0" fontId="28" fillId="0" borderId="0" xfId="49" applyNumberFormat="1" applyFill="1" applyProtection="1">
      <alignment horizontal="left" wrapText="1"/>
      <protection/>
    </xf>
    <xf numFmtId="0" fontId="28" fillId="0" borderId="0" xfId="49" applyFill="1">
      <alignment horizontal="left" wrapText="1"/>
      <protection/>
    </xf>
    <xf numFmtId="0" fontId="48" fillId="0" borderId="0" xfId="39" applyNumberFormat="1" applyFont="1" applyFill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50.00390625" style="23" customWidth="1"/>
    <col min="2" max="2" width="12.28125" style="23" customWidth="1"/>
    <col min="3" max="3" width="13.140625" style="7" customWidth="1"/>
    <col min="4" max="4" width="16.57421875" style="7" customWidth="1"/>
    <col min="5" max="6" width="13.7109375" style="7" customWidth="1"/>
    <col min="7" max="7" width="15.00390625" style="7" customWidth="1"/>
    <col min="8" max="13" width="13.140625" style="7" customWidth="1"/>
    <col min="14" max="16384" width="9.140625" style="7" customWidth="1"/>
  </cols>
  <sheetData>
    <row r="1" spans="1:13" ht="33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7.5" customHeigh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8"/>
      <c r="M2" s="8"/>
    </row>
    <row r="3" spans="1:13" ht="12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L3" s="10"/>
      <c r="M3" s="11" t="s">
        <v>70</v>
      </c>
    </row>
    <row r="4" spans="1:13" ht="53.25" customHeight="1">
      <c r="A4" s="12" t="s">
        <v>61</v>
      </c>
      <c r="B4" s="12" t="s">
        <v>29</v>
      </c>
      <c r="C4" s="13" t="s">
        <v>71</v>
      </c>
      <c r="D4" s="13" t="s">
        <v>72</v>
      </c>
      <c r="E4" s="13" t="s">
        <v>54</v>
      </c>
      <c r="F4" s="13" t="s">
        <v>73</v>
      </c>
      <c r="G4" s="13" t="s">
        <v>74</v>
      </c>
      <c r="H4" s="13" t="s">
        <v>82</v>
      </c>
      <c r="I4" s="13" t="s">
        <v>75</v>
      </c>
      <c r="J4" s="13" t="s">
        <v>76</v>
      </c>
      <c r="K4" s="13" t="s">
        <v>83</v>
      </c>
      <c r="L4" s="13" t="s">
        <v>77</v>
      </c>
      <c r="M4" s="13" t="s">
        <v>78</v>
      </c>
    </row>
    <row r="5" spans="1:13" ht="14.25" customHeight="1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5" t="s">
        <v>55</v>
      </c>
      <c r="G5" s="15" t="s">
        <v>56</v>
      </c>
      <c r="H5" s="15">
        <v>8</v>
      </c>
      <c r="I5" s="15" t="s">
        <v>57</v>
      </c>
      <c r="J5" s="15" t="s">
        <v>58</v>
      </c>
      <c r="K5" s="15">
        <v>11</v>
      </c>
      <c r="L5" s="15" t="s">
        <v>59</v>
      </c>
      <c r="M5" s="15" t="s">
        <v>60</v>
      </c>
    </row>
    <row r="6" spans="1:13" s="18" customFormat="1" ht="15">
      <c r="A6" s="16" t="s">
        <v>63</v>
      </c>
      <c r="B6" s="17" t="s">
        <v>0</v>
      </c>
      <c r="C6" s="3">
        <f>SUM(C7:C12)</f>
        <v>6518666.96</v>
      </c>
      <c r="D6" s="3">
        <f>SUM(D7:D12)</f>
        <v>6386847.029999999</v>
      </c>
      <c r="E6" s="3">
        <f>SUM(E7:E12)</f>
        <v>7959830.18</v>
      </c>
      <c r="F6" s="2">
        <f>E6/C6</f>
        <v>1.2210825048807217</v>
      </c>
      <c r="G6" s="2">
        <f>E6/D6</f>
        <v>1.2462847697168036</v>
      </c>
      <c r="H6" s="3">
        <f>SUM(H7:H12)</f>
        <v>6997704.1899999995</v>
      </c>
      <c r="I6" s="2">
        <f>H6/C6</f>
        <v>1.0734869925000738</v>
      </c>
      <c r="J6" s="2">
        <f>H6/D6</f>
        <v>1.0956429920946456</v>
      </c>
      <c r="K6" s="3">
        <f>SUM(K7:K12)</f>
        <v>6994327.05</v>
      </c>
      <c r="L6" s="2">
        <f>K6/C6</f>
        <v>1.0729689203204822</v>
      </c>
      <c r="M6" s="2">
        <f>K6/D6</f>
        <v>1.095114227277806</v>
      </c>
    </row>
    <row r="7" spans="1:13" ht="25.5" outlineLevel="1">
      <c r="A7" s="19" t="s">
        <v>62</v>
      </c>
      <c r="B7" s="20" t="s">
        <v>1</v>
      </c>
      <c r="C7" s="4">
        <f>699540.67</f>
        <v>699540.67</v>
      </c>
      <c r="D7" s="4">
        <f>709254.41</f>
        <v>709254.41</v>
      </c>
      <c r="E7" s="4">
        <f>731884.6</f>
        <v>731884.6</v>
      </c>
      <c r="F7" s="1">
        <f aca="true" t="shared" si="0" ref="F7:F36">E7/C7</f>
        <v>1.046235953657991</v>
      </c>
      <c r="G7" s="1">
        <f aca="true" t="shared" si="1" ref="G7:G37">E7/D7</f>
        <v>1.0319070134509278</v>
      </c>
      <c r="H7" s="4">
        <f>731884.6</f>
        <v>731884.6</v>
      </c>
      <c r="I7" s="1">
        <f aca="true" t="shared" si="2" ref="I7:I36">H7/C7</f>
        <v>1.046235953657991</v>
      </c>
      <c r="J7" s="1">
        <f aca="true" t="shared" si="3" ref="J7:J36">H7/D7</f>
        <v>1.0319070134509278</v>
      </c>
      <c r="K7" s="4">
        <f>731884.6</f>
        <v>731884.6</v>
      </c>
      <c r="L7" s="1">
        <f aca="true" t="shared" si="4" ref="L7:L36">K7/C7</f>
        <v>1.046235953657991</v>
      </c>
      <c r="M7" s="1">
        <f aca="true" t="shared" si="5" ref="M7:M36">K7/D7</f>
        <v>1.0319070134509278</v>
      </c>
    </row>
    <row r="8" spans="1:13" ht="38.25" outlineLevel="1">
      <c r="A8" s="19" t="s">
        <v>64</v>
      </c>
      <c r="B8" s="20" t="s">
        <v>2</v>
      </c>
      <c r="C8" s="4">
        <f>1545813.28</f>
        <v>1545813.28</v>
      </c>
      <c r="D8" s="4">
        <f>1692007.34</f>
        <v>1692007.34</v>
      </c>
      <c r="E8" s="4">
        <f>1656549.85</f>
        <v>1656549.85</v>
      </c>
      <c r="F8" s="1">
        <f t="shared" si="0"/>
        <v>1.0716364462854142</v>
      </c>
      <c r="G8" s="1">
        <f t="shared" si="1"/>
        <v>0.9790441275508888</v>
      </c>
      <c r="H8" s="4">
        <f>1656549.85</f>
        <v>1656549.85</v>
      </c>
      <c r="I8" s="1">
        <f t="shared" si="2"/>
        <v>1.0716364462854142</v>
      </c>
      <c r="J8" s="1">
        <f t="shared" si="3"/>
        <v>0.9790441275508888</v>
      </c>
      <c r="K8" s="4">
        <f>1656549.85</f>
        <v>1656549.85</v>
      </c>
      <c r="L8" s="1">
        <f t="shared" si="4"/>
        <v>1.0716364462854142</v>
      </c>
      <c r="M8" s="1">
        <f t="shared" si="5"/>
        <v>0.9790441275508888</v>
      </c>
    </row>
    <row r="9" spans="1:13" ht="15" outlineLevel="1">
      <c r="A9" s="19" t="s">
        <v>65</v>
      </c>
      <c r="B9" s="20" t="s">
        <v>3</v>
      </c>
      <c r="C9" s="4">
        <f>24530</f>
        <v>24530</v>
      </c>
      <c r="D9" s="25">
        <f>3072</f>
        <v>3072</v>
      </c>
      <c r="E9" s="4">
        <f>3211.43</f>
        <v>3211.43</v>
      </c>
      <c r="F9" s="1">
        <f t="shared" si="0"/>
        <v>0.13091846718304118</v>
      </c>
      <c r="G9" s="1">
        <f t="shared" si="1"/>
        <v>1.0453873697916667</v>
      </c>
      <c r="H9" s="4">
        <f>3377.14</f>
        <v>3377.14</v>
      </c>
      <c r="I9" s="1">
        <f t="shared" si="2"/>
        <v>0.1376738687321647</v>
      </c>
      <c r="J9" s="1">
        <f t="shared" si="3"/>
        <v>1.0993294270833334</v>
      </c>
      <c r="K9" s="4">
        <f>0</f>
        <v>0</v>
      </c>
      <c r="L9" s="1">
        <f t="shared" si="4"/>
        <v>0</v>
      </c>
      <c r="M9" s="1">
        <f t="shared" si="5"/>
        <v>0</v>
      </c>
    </row>
    <row r="10" spans="1:13" ht="15" outlineLevel="1">
      <c r="A10" s="19" t="s">
        <v>66</v>
      </c>
      <c r="B10" s="20" t="s">
        <v>4</v>
      </c>
      <c r="C10" s="4">
        <f>0</f>
        <v>0</v>
      </c>
      <c r="D10" s="4">
        <f>0</f>
        <v>0</v>
      </c>
      <c r="E10" s="4">
        <f>1250000</f>
        <v>1250000</v>
      </c>
      <c r="F10" s="1">
        <f>0</f>
        <v>0</v>
      </c>
      <c r="G10" s="1">
        <f>0</f>
        <v>0</v>
      </c>
      <c r="H10" s="4">
        <f>0</f>
        <v>0</v>
      </c>
      <c r="I10" s="1">
        <f>0</f>
        <v>0</v>
      </c>
      <c r="J10" s="1">
        <f>0</f>
        <v>0</v>
      </c>
      <c r="K10" s="4">
        <f>0</f>
        <v>0</v>
      </c>
      <c r="L10" s="1">
        <f>0</f>
        <v>0</v>
      </c>
      <c r="M10" s="1">
        <f>0</f>
        <v>0</v>
      </c>
    </row>
    <row r="11" spans="1:13" ht="15" outlineLevel="1">
      <c r="A11" s="19" t="s">
        <v>67</v>
      </c>
      <c r="B11" s="20" t="s">
        <v>5</v>
      </c>
      <c r="C11" s="4">
        <f>0</f>
        <v>0</v>
      </c>
      <c r="D11" s="4">
        <f>0</f>
        <v>0</v>
      </c>
      <c r="E11" s="4">
        <f>400000</f>
        <v>400000</v>
      </c>
      <c r="F11" s="1">
        <f>0</f>
        <v>0</v>
      </c>
      <c r="G11" s="1">
        <f>0</f>
        <v>0</v>
      </c>
      <c r="H11" s="4">
        <f>400000</f>
        <v>400000</v>
      </c>
      <c r="I11" s="1">
        <f>0</f>
        <v>0</v>
      </c>
      <c r="J11" s="1">
        <f>0</f>
        <v>0</v>
      </c>
      <c r="K11" s="4">
        <f>400000</f>
        <v>400000</v>
      </c>
      <c r="L11" s="1">
        <f>0</f>
        <v>0</v>
      </c>
      <c r="M11" s="1">
        <f>0</f>
        <v>0</v>
      </c>
    </row>
    <row r="12" spans="1:13" ht="15" outlineLevel="1">
      <c r="A12" s="19" t="s">
        <v>68</v>
      </c>
      <c r="B12" s="20" t="s">
        <v>6</v>
      </c>
      <c r="C12" s="4">
        <f>4248783.01</f>
        <v>4248783.01</v>
      </c>
      <c r="D12" s="4">
        <f>3982513.28</f>
        <v>3982513.28</v>
      </c>
      <c r="E12" s="4">
        <f>3918184.3</f>
        <v>3918184.3</v>
      </c>
      <c r="F12" s="1">
        <f t="shared" si="0"/>
        <v>0.9221897872350981</v>
      </c>
      <c r="G12" s="1">
        <f t="shared" si="1"/>
        <v>0.9838471398644024</v>
      </c>
      <c r="H12" s="4">
        <f>4205892.6</f>
        <v>4205892.6</v>
      </c>
      <c r="I12" s="1">
        <f t="shared" si="2"/>
        <v>0.9899052481854091</v>
      </c>
      <c r="J12" s="1">
        <f t="shared" si="3"/>
        <v>1.0560900376959947</v>
      </c>
      <c r="K12" s="4">
        <f>4205892.6</f>
        <v>4205892.6</v>
      </c>
      <c r="L12" s="1">
        <f t="shared" si="4"/>
        <v>0.9899052481854091</v>
      </c>
      <c r="M12" s="1">
        <f t="shared" si="5"/>
        <v>1.0560900376959947</v>
      </c>
    </row>
    <row r="13" spans="1:13" s="18" customFormat="1" ht="25.5">
      <c r="A13" s="16" t="s">
        <v>31</v>
      </c>
      <c r="B13" s="17" t="s">
        <v>7</v>
      </c>
      <c r="C13" s="3">
        <f>SUM(C14:C16)</f>
        <v>317164</v>
      </c>
      <c r="D13" s="3">
        <f>SUM(D14:D16)</f>
        <v>380500</v>
      </c>
      <c r="E13" s="3">
        <f>SUM(E14:E16)</f>
        <v>373500</v>
      </c>
      <c r="F13" s="2">
        <f t="shared" si="0"/>
        <v>1.1776241944230745</v>
      </c>
      <c r="G13" s="2">
        <f t="shared" si="1"/>
        <v>0.9816031537450722</v>
      </c>
      <c r="H13" s="3">
        <f>SUM(H14:H16)</f>
        <v>373500</v>
      </c>
      <c r="I13" s="2">
        <f t="shared" si="2"/>
        <v>1.1776241944230745</v>
      </c>
      <c r="J13" s="2">
        <f t="shared" si="3"/>
        <v>0.9816031537450722</v>
      </c>
      <c r="K13" s="3">
        <f>SUM(K14:K16)</f>
        <v>373500</v>
      </c>
      <c r="L13" s="2">
        <f t="shared" si="4"/>
        <v>1.1776241944230745</v>
      </c>
      <c r="M13" s="2">
        <f t="shared" si="5"/>
        <v>0.9816031537450722</v>
      </c>
    </row>
    <row r="14" spans="1:13" ht="30.75" customHeight="1" outlineLevel="1">
      <c r="A14" s="19" t="s">
        <v>32</v>
      </c>
      <c r="B14" s="20" t="s">
        <v>8</v>
      </c>
      <c r="C14" s="4">
        <f>36950</f>
        <v>36950</v>
      </c>
      <c r="D14" s="4">
        <f>12000</f>
        <v>12000</v>
      </c>
      <c r="E14" s="4">
        <f>12000</f>
        <v>12000</v>
      </c>
      <c r="F14" s="1">
        <f t="shared" si="0"/>
        <v>0.32476319350473615</v>
      </c>
      <c r="G14" s="1">
        <f t="shared" si="1"/>
        <v>1</v>
      </c>
      <c r="H14" s="4">
        <f>12000</f>
        <v>12000</v>
      </c>
      <c r="I14" s="1">
        <f t="shared" si="2"/>
        <v>0.32476319350473615</v>
      </c>
      <c r="J14" s="1">
        <f t="shared" si="3"/>
        <v>1</v>
      </c>
      <c r="K14" s="4">
        <f>12000</f>
        <v>12000</v>
      </c>
      <c r="L14" s="1">
        <f t="shared" si="4"/>
        <v>0.32476319350473615</v>
      </c>
      <c r="M14" s="1">
        <f t="shared" si="5"/>
        <v>1</v>
      </c>
    </row>
    <row r="15" spans="1:13" ht="15" outlineLevel="1">
      <c r="A15" s="19" t="s">
        <v>33</v>
      </c>
      <c r="B15" s="20" t="s">
        <v>9</v>
      </c>
      <c r="C15" s="4">
        <f>280214</f>
        <v>280214</v>
      </c>
      <c r="D15" s="4">
        <f>280500</f>
        <v>280500</v>
      </c>
      <c r="E15" s="4">
        <f>211500</f>
        <v>211500</v>
      </c>
      <c r="F15" s="1">
        <f t="shared" si="0"/>
        <v>0.7547802750754781</v>
      </c>
      <c r="G15" s="1">
        <f t="shared" si="1"/>
        <v>0.7540106951871658</v>
      </c>
      <c r="H15" s="4">
        <f>211500</f>
        <v>211500</v>
      </c>
      <c r="I15" s="1">
        <f t="shared" si="2"/>
        <v>0.7547802750754781</v>
      </c>
      <c r="J15" s="1">
        <f t="shared" si="3"/>
        <v>0.7540106951871658</v>
      </c>
      <c r="K15" s="4">
        <f>211500</f>
        <v>211500</v>
      </c>
      <c r="L15" s="1">
        <f t="shared" si="4"/>
        <v>0.7547802750754781</v>
      </c>
      <c r="M15" s="1">
        <f t="shared" si="5"/>
        <v>0.7540106951871658</v>
      </c>
    </row>
    <row r="16" spans="1:13" ht="25.5" outlineLevel="1">
      <c r="A16" s="19" t="s">
        <v>80</v>
      </c>
      <c r="B16" s="21" t="s">
        <v>79</v>
      </c>
      <c r="C16" s="4">
        <f>0</f>
        <v>0</v>
      </c>
      <c r="D16" s="4">
        <f>88000</f>
        <v>88000</v>
      </c>
      <c r="E16" s="4">
        <f>150000</f>
        <v>150000</v>
      </c>
      <c r="F16" s="1">
        <f>0</f>
        <v>0</v>
      </c>
      <c r="G16" s="1">
        <f t="shared" si="1"/>
        <v>1.7045454545454546</v>
      </c>
      <c r="H16" s="4">
        <f>150000</f>
        <v>150000</v>
      </c>
      <c r="I16" s="1">
        <f>0</f>
        <v>0</v>
      </c>
      <c r="J16" s="1">
        <f t="shared" si="3"/>
        <v>1.7045454545454546</v>
      </c>
      <c r="K16" s="4">
        <f>150000</f>
        <v>150000</v>
      </c>
      <c r="L16" s="1">
        <f>0</f>
        <v>0</v>
      </c>
      <c r="M16" s="1">
        <f t="shared" si="5"/>
        <v>1.7045454545454546</v>
      </c>
    </row>
    <row r="17" spans="1:13" s="18" customFormat="1" ht="15">
      <c r="A17" s="16" t="s">
        <v>34</v>
      </c>
      <c r="B17" s="17" t="s">
        <v>10</v>
      </c>
      <c r="C17" s="3">
        <f>SUM(C18:C20)</f>
        <v>24880568.38</v>
      </c>
      <c r="D17" s="3">
        <f>SUM(D18:D20)</f>
        <v>35413035.83</v>
      </c>
      <c r="E17" s="3">
        <f>SUM(E18:E20)</f>
        <v>21170736.93</v>
      </c>
      <c r="F17" s="2">
        <f t="shared" si="0"/>
        <v>0.8508944251859571</v>
      </c>
      <c r="G17" s="2">
        <f t="shared" si="1"/>
        <v>0.5978232713972887</v>
      </c>
      <c r="H17" s="3">
        <f>SUM(H18:H20)</f>
        <v>20469346.2</v>
      </c>
      <c r="I17" s="2">
        <f t="shared" si="2"/>
        <v>0.8227041234497715</v>
      </c>
      <c r="J17" s="2">
        <f t="shared" si="3"/>
        <v>0.5780172673775538</v>
      </c>
      <c r="K17" s="3">
        <f>SUM(K18:K20)</f>
        <v>21369346.2</v>
      </c>
      <c r="L17" s="2">
        <f t="shared" si="4"/>
        <v>0.8588769305277423</v>
      </c>
      <c r="M17" s="2">
        <f t="shared" si="5"/>
        <v>0.6034316375072551</v>
      </c>
    </row>
    <row r="18" spans="1:13" ht="15" outlineLevel="1">
      <c r="A18" s="19" t="s">
        <v>35</v>
      </c>
      <c r="B18" s="20" t="s">
        <v>11</v>
      </c>
      <c r="C18" s="4">
        <f>1741666.63</f>
        <v>1741666.63</v>
      </c>
      <c r="D18" s="4">
        <f>2058333.37</f>
        <v>2058333.37</v>
      </c>
      <c r="E18" s="4">
        <f>2824058.19</f>
        <v>2824058.19</v>
      </c>
      <c r="F18" s="1">
        <f t="shared" si="0"/>
        <v>1.6214688513610669</v>
      </c>
      <c r="G18" s="1">
        <f t="shared" si="1"/>
        <v>1.3720120516726597</v>
      </c>
      <c r="H18" s="4">
        <f>2000000</f>
        <v>2000000</v>
      </c>
      <c r="I18" s="1">
        <f t="shared" si="2"/>
        <v>1.148325383026946</v>
      </c>
      <c r="J18" s="1">
        <f t="shared" si="3"/>
        <v>0.9716599017194187</v>
      </c>
      <c r="K18" s="4">
        <f>2000000</f>
        <v>2000000</v>
      </c>
      <c r="L18" s="1">
        <f t="shared" si="4"/>
        <v>1.148325383026946</v>
      </c>
      <c r="M18" s="1">
        <f t="shared" si="5"/>
        <v>0.9716599017194187</v>
      </c>
    </row>
    <row r="19" spans="1:13" ht="15" outlineLevel="1">
      <c r="A19" s="19" t="s">
        <v>36</v>
      </c>
      <c r="B19" s="20" t="s">
        <v>12</v>
      </c>
      <c r="C19" s="4">
        <f>21272802.75</f>
        <v>21272802.75</v>
      </c>
      <c r="D19" s="4">
        <f>33013502.46</f>
        <v>33013502.46</v>
      </c>
      <c r="E19" s="4">
        <f>18318778.74</f>
        <v>18318778.74</v>
      </c>
      <c r="F19" s="1">
        <f t="shared" si="0"/>
        <v>0.86113611616128</v>
      </c>
      <c r="G19" s="1">
        <f t="shared" si="1"/>
        <v>0.5548874664902791</v>
      </c>
      <c r="H19" s="4">
        <f>18409346.2</f>
        <v>18409346.2</v>
      </c>
      <c r="I19" s="1">
        <f t="shared" si="2"/>
        <v>0.8653935457564471</v>
      </c>
      <c r="J19" s="1">
        <f t="shared" si="3"/>
        <v>0.5576308124927136</v>
      </c>
      <c r="K19" s="4">
        <f>16877767.2+2000000+431579</f>
        <v>19309346.2</v>
      </c>
      <c r="L19" s="1">
        <f t="shared" si="4"/>
        <v>0.9077010879537253</v>
      </c>
      <c r="M19" s="1">
        <f t="shared" si="5"/>
        <v>0.5848923852716231</v>
      </c>
    </row>
    <row r="20" spans="1:13" ht="15" outlineLevel="1">
      <c r="A20" s="19" t="s">
        <v>37</v>
      </c>
      <c r="B20" s="20" t="s">
        <v>13</v>
      </c>
      <c r="C20" s="4">
        <f>1866099</f>
        <v>1866099</v>
      </c>
      <c r="D20" s="4">
        <f>341200</f>
        <v>341200</v>
      </c>
      <c r="E20" s="4">
        <f>27900</f>
        <v>27900</v>
      </c>
      <c r="F20" s="1">
        <f t="shared" si="0"/>
        <v>0.014950975269800798</v>
      </c>
      <c r="G20" s="1">
        <f t="shared" si="1"/>
        <v>0.08177022274325908</v>
      </c>
      <c r="H20" s="4">
        <f>60000</f>
        <v>60000</v>
      </c>
      <c r="I20" s="1">
        <f t="shared" si="2"/>
        <v>0.03215263498881892</v>
      </c>
      <c r="J20" s="1">
        <f t="shared" si="3"/>
        <v>0.17584994138335286</v>
      </c>
      <c r="K20" s="4">
        <f>60000</f>
        <v>60000</v>
      </c>
      <c r="L20" s="1">
        <f t="shared" si="4"/>
        <v>0.03215263498881892</v>
      </c>
      <c r="M20" s="1">
        <f t="shared" si="5"/>
        <v>0.17584994138335286</v>
      </c>
    </row>
    <row r="21" spans="1:13" s="18" customFormat="1" ht="15">
      <c r="A21" s="16" t="s">
        <v>38</v>
      </c>
      <c r="B21" s="17" t="s">
        <v>14</v>
      </c>
      <c r="C21" s="3">
        <f>SUM(C22:C25)</f>
        <v>16406396.85</v>
      </c>
      <c r="D21" s="3">
        <f>SUM(D22:D25)</f>
        <v>29485038.220000003</v>
      </c>
      <c r="E21" s="3">
        <f>SUM(E22:E25)</f>
        <v>20560234.73</v>
      </c>
      <c r="F21" s="2">
        <f t="shared" si="0"/>
        <v>1.2531840426619938</v>
      </c>
      <c r="G21" s="2">
        <f t="shared" si="1"/>
        <v>0.6973107708591602</v>
      </c>
      <c r="H21" s="3">
        <f>SUM(H22:H25)</f>
        <v>18546177.439999998</v>
      </c>
      <c r="I21" s="2">
        <f t="shared" si="2"/>
        <v>1.130423554273588</v>
      </c>
      <c r="J21" s="2">
        <f t="shared" si="3"/>
        <v>0.6290029981178704</v>
      </c>
      <c r="K21" s="3">
        <f>SUM(K22:K25)</f>
        <v>18555584.869999997</v>
      </c>
      <c r="L21" s="2">
        <f t="shared" si="4"/>
        <v>1.1309969543983083</v>
      </c>
      <c r="M21" s="2">
        <f t="shared" si="5"/>
        <v>0.6293220558694598</v>
      </c>
    </row>
    <row r="22" spans="1:13" ht="15">
      <c r="A22" s="19" t="s">
        <v>39</v>
      </c>
      <c r="B22" s="21" t="s">
        <v>30</v>
      </c>
      <c r="C22" s="4">
        <f>1096598.19</f>
        <v>1096598.19</v>
      </c>
      <c r="D22" s="4">
        <f>1638783.2</f>
        <v>1638783.2</v>
      </c>
      <c r="E22" s="4">
        <f>1790103</f>
        <v>1790103</v>
      </c>
      <c r="F22" s="1">
        <f t="shared" si="0"/>
        <v>1.6324146951218295</v>
      </c>
      <c r="G22" s="1">
        <f t="shared" si="1"/>
        <v>1.0923366800440717</v>
      </c>
      <c r="H22" s="4">
        <f>1971784.59</f>
        <v>1971784.59</v>
      </c>
      <c r="I22" s="1">
        <f t="shared" si="2"/>
        <v>1.7980921434860295</v>
      </c>
      <c r="J22" s="1">
        <f t="shared" si="3"/>
        <v>1.2032003928280448</v>
      </c>
      <c r="K22" s="4">
        <f>1981192.02</f>
        <v>1981192.02</v>
      </c>
      <c r="L22" s="1">
        <f t="shared" si="4"/>
        <v>1.8066708827961864</v>
      </c>
      <c r="M22" s="1">
        <f t="shared" si="5"/>
        <v>1.208940889801653</v>
      </c>
    </row>
    <row r="23" spans="1:13" ht="15" outlineLevel="1">
      <c r="A23" s="19" t="s">
        <v>40</v>
      </c>
      <c r="B23" s="21" t="s">
        <v>15</v>
      </c>
      <c r="C23" s="4">
        <f>3073128.76</f>
        <v>3073128.76</v>
      </c>
      <c r="D23" s="4">
        <f>3657964.67</f>
        <v>3657964.67</v>
      </c>
      <c r="E23" s="4">
        <f>6235310.88</f>
        <v>6235310.88</v>
      </c>
      <c r="F23" s="1">
        <f t="shared" si="0"/>
        <v>2.0289780764018492</v>
      </c>
      <c r="G23" s="1">
        <f t="shared" si="1"/>
        <v>1.7045847739147246</v>
      </c>
      <c r="H23" s="4">
        <f>3089572</f>
        <v>3089572</v>
      </c>
      <c r="I23" s="1">
        <f t="shared" si="2"/>
        <v>1.0053506511715442</v>
      </c>
      <c r="J23" s="1">
        <f t="shared" si="3"/>
        <v>0.8446150465417153</v>
      </c>
      <c r="K23" s="4">
        <f>3089572</f>
        <v>3089572</v>
      </c>
      <c r="L23" s="1">
        <f t="shared" si="4"/>
        <v>1.0053506511715442</v>
      </c>
      <c r="M23" s="1">
        <f t="shared" si="5"/>
        <v>0.8446150465417153</v>
      </c>
    </row>
    <row r="24" spans="1:13" ht="15" outlineLevel="1">
      <c r="A24" s="19" t="s">
        <v>41</v>
      </c>
      <c r="B24" s="21" t="s">
        <v>16</v>
      </c>
      <c r="C24" s="4">
        <f>12236669.9</f>
        <v>12236669.9</v>
      </c>
      <c r="D24" s="4">
        <f>19988290.35</f>
        <v>19988290.35</v>
      </c>
      <c r="E24" s="4">
        <f>12484820.85</f>
        <v>12484820.85</v>
      </c>
      <c r="F24" s="1">
        <f t="shared" si="0"/>
        <v>1.0202792877496842</v>
      </c>
      <c r="G24" s="1">
        <f t="shared" si="1"/>
        <v>0.6246067388149582</v>
      </c>
      <c r="H24" s="4">
        <f>12484820.85+1000000</f>
        <v>13484820.85</v>
      </c>
      <c r="I24" s="1">
        <f t="shared" si="2"/>
        <v>1.1020008678995254</v>
      </c>
      <c r="J24" s="1">
        <f t="shared" si="3"/>
        <v>0.6746360300894868</v>
      </c>
      <c r="K24" s="4">
        <f>12484820.85+1000000</f>
        <v>13484820.85</v>
      </c>
      <c r="L24" s="1">
        <f t="shared" si="4"/>
        <v>1.1020008678995254</v>
      </c>
      <c r="M24" s="1">
        <f t="shared" si="5"/>
        <v>0.6746360300894868</v>
      </c>
    </row>
    <row r="25" spans="1:13" ht="25.5" outlineLevel="1">
      <c r="A25" s="19" t="s">
        <v>42</v>
      </c>
      <c r="B25" s="21" t="s">
        <v>17</v>
      </c>
      <c r="C25" s="4">
        <f>0</f>
        <v>0</v>
      </c>
      <c r="D25" s="4">
        <f>4200000</f>
        <v>4200000</v>
      </c>
      <c r="E25" s="4">
        <f>50000</f>
        <v>50000</v>
      </c>
      <c r="F25" s="1">
        <f>0</f>
        <v>0</v>
      </c>
      <c r="G25" s="1">
        <f t="shared" si="1"/>
        <v>0.011904761904761904</v>
      </c>
      <c r="H25" s="4">
        <f>0</f>
        <v>0</v>
      </c>
      <c r="I25" s="1">
        <f>0</f>
        <v>0</v>
      </c>
      <c r="J25" s="1">
        <f t="shared" si="3"/>
        <v>0</v>
      </c>
      <c r="K25" s="4">
        <f>0</f>
        <v>0</v>
      </c>
      <c r="L25" s="1">
        <f>0</f>
        <v>0</v>
      </c>
      <c r="M25" s="1">
        <f t="shared" si="5"/>
        <v>0</v>
      </c>
    </row>
    <row r="26" spans="1:13" s="18" customFormat="1" ht="15">
      <c r="A26" s="16" t="s">
        <v>43</v>
      </c>
      <c r="B26" s="17" t="s">
        <v>18</v>
      </c>
      <c r="C26" s="3">
        <f>C27</f>
        <v>38720</v>
      </c>
      <c r="D26" s="3">
        <f>D27</f>
        <v>38720</v>
      </c>
      <c r="E26" s="3">
        <f>E27</f>
        <v>38720</v>
      </c>
      <c r="F26" s="2">
        <f t="shared" si="0"/>
        <v>1</v>
      </c>
      <c r="G26" s="2">
        <f t="shared" si="1"/>
        <v>1</v>
      </c>
      <c r="H26" s="3">
        <f>H27</f>
        <v>38720</v>
      </c>
      <c r="I26" s="2">
        <f t="shared" si="2"/>
        <v>1</v>
      </c>
      <c r="J26" s="2">
        <f t="shared" si="3"/>
        <v>1</v>
      </c>
      <c r="K26" s="3">
        <f>K27</f>
        <v>38720</v>
      </c>
      <c r="L26" s="2">
        <f t="shared" si="4"/>
        <v>1</v>
      </c>
      <c r="M26" s="2">
        <f t="shared" si="5"/>
        <v>1</v>
      </c>
    </row>
    <row r="27" spans="1:13" ht="15" outlineLevel="1">
      <c r="A27" s="19" t="s">
        <v>44</v>
      </c>
      <c r="B27" s="20" t="s">
        <v>19</v>
      </c>
      <c r="C27" s="4">
        <f>38720</f>
        <v>38720</v>
      </c>
      <c r="D27" s="5">
        <f>38720</f>
        <v>38720</v>
      </c>
      <c r="E27" s="4">
        <f>38720</f>
        <v>38720</v>
      </c>
      <c r="F27" s="1">
        <f t="shared" si="0"/>
        <v>1</v>
      </c>
      <c r="G27" s="1">
        <f t="shared" si="1"/>
        <v>1</v>
      </c>
      <c r="H27" s="4">
        <f>38720</f>
        <v>38720</v>
      </c>
      <c r="I27" s="1">
        <f t="shared" si="2"/>
        <v>1</v>
      </c>
      <c r="J27" s="1">
        <f t="shared" si="3"/>
        <v>1</v>
      </c>
      <c r="K27" s="4">
        <f>38720</f>
        <v>38720</v>
      </c>
      <c r="L27" s="1">
        <f t="shared" si="4"/>
        <v>1</v>
      </c>
      <c r="M27" s="1">
        <f t="shared" si="5"/>
        <v>1</v>
      </c>
    </row>
    <row r="28" spans="1:13" s="18" customFormat="1" ht="15">
      <c r="A28" s="16" t="s">
        <v>45</v>
      </c>
      <c r="B28" s="17" t="s">
        <v>20</v>
      </c>
      <c r="C28" s="3">
        <f>C29</f>
        <v>22255381.82</v>
      </c>
      <c r="D28" s="3">
        <f>D29</f>
        <v>28741525.12</v>
      </c>
      <c r="E28" s="3">
        <f>E29</f>
        <v>23119733.71</v>
      </c>
      <c r="F28" s="2">
        <f t="shared" si="0"/>
        <v>1.0388378818656459</v>
      </c>
      <c r="G28" s="2">
        <f t="shared" si="1"/>
        <v>0.8044017710776233</v>
      </c>
      <c r="H28" s="3">
        <f>H29</f>
        <v>19985581.94</v>
      </c>
      <c r="I28" s="2">
        <f t="shared" si="2"/>
        <v>0.8980111912544128</v>
      </c>
      <c r="J28" s="2">
        <f t="shared" si="3"/>
        <v>0.6953556520246341</v>
      </c>
      <c r="K28" s="3">
        <f>K29</f>
        <v>19328174.51</v>
      </c>
      <c r="L28" s="2">
        <f t="shared" si="4"/>
        <v>0.8684719348481617</v>
      </c>
      <c r="M28" s="2">
        <f t="shared" si="5"/>
        <v>0.6724825641402846</v>
      </c>
    </row>
    <row r="29" spans="1:13" ht="15" outlineLevel="1">
      <c r="A29" s="19" t="s">
        <v>46</v>
      </c>
      <c r="B29" s="20" t="s">
        <v>21</v>
      </c>
      <c r="C29" s="4">
        <f>22255381.82</f>
        <v>22255381.82</v>
      </c>
      <c r="D29" s="4">
        <f>28741525.12</f>
        <v>28741525.12</v>
      </c>
      <c r="E29" s="4">
        <f>23119733.71</f>
        <v>23119733.71</v>
      </c>
      <c r="F29" s="1">
        <f t="shared" si="0"/>
        <v>1.0388378818656459</v>
      </c>
      <c r="G29" s="1">
        <f t="shared" si="1"/>
        <v>0.8044017710776233</v>
      </c>
      <c r="H29" s="4">
        <f>19276091.94+709490</f>
        <v>19985581.94</v>
      </c>
      <c r="I29" s="1">
        <f t="shared" si="2"/>
        <v>0.8980111912544128</v>
      </c>
      <c r="J29" s="1">
        <f t="shared" si="3"/>
        <v>0.6953556520246341</v>
      </c>
      <c r="K29" s="4">
        <f>19328174.51</f>
        <v>19328174.51</v>
      </c>
      <c r="L29" s="1">
        <f t="shared" si="4"/>
        <v>0.8684719348481617</v>
      </c>
      <c r="M29" s="1">
        <f t="shared" si="5"/>
        <v>0.6724825641402846</v>
      </c>
    </row>
    <row r="30" spans="1:13" s="18" customFormat="1" ht="15">
      <c r="A30" s="16" t="s">
        <v>47</v>
      </c>
      <c r="B30" s="17" t="s">
        <v>22</v>
      </c>
      <c r="C30" s="3">
        <f>SUM(C31:C32)</f>
        <v>2374908.6</v>
      </c>
      <c r="D30" s="3">
        <f>SUM(D31:D32)</f>
        <v>315059.77999999997</v>
      </c>
      <c r="E30" s="3">
        <f>SUM(E31:E32)</f>
        <v>1608012.27</v>
      </c>
      <c r="F30" s="2">
        <f t="shared" si="0"/>
        <v>0.677083854932354</v>
      </c>
      <c r="G30" s="2">
        <f t="shared" si="1"/>
        <v>5.1038322631977975</v>
      </c>
      <c r="H30" s="3">
        <f>SUM(H31:H32)</f>
        <v>1736068.19</v>
      </c>
      <c r="I30" s="2">
        <f t="shared" si="2"/>
        <v>0.7310042121199948</v>
      </c>
      <c r="J30" s="2">
        <f t="shared" si="3"/>
        <v>5.510281858255599</v>
      </c>
      <c r="K30" s="3">
        <f>SUM(K31:K32)</f>
        <v>1736068.19</v>
      </c>
      <c r="L30" s="2">
        <f t="shared" si="4"/>
        <v>0.7310042121199948</v>
      </c>
      <c r="M30" s="2">
        <f t="shared" si="5"/>
        <v>5.510281858255599</v>
      </c>
    </row>
    <row r="31" spans="1:13" ht="15" outlineLevel="1">
      <c r="A31" s="19" t="s">
        <v>48</v>
      </c>
      <c r="B31" s="20" t="s">
        <v>23</v>
      </c>
      <c r="C31" s="4">
        <f>197508.6</f>
        <v>197508.6</v>
      </c>
      <c r="D31" s="4">
        <f>195595.08</f>
        <v>195595.08</v>
      </c>
      <c r="E31" s="4">
        <f>208000</f>
        <v>208000</v>
      </c>
      <c r="F31" s="1">
        <f t="shared" si="0"/>
        <v>1.0531186996414332</v>
      </c>
      <c r="G31" s="1">
        <f t="shared" si="1"/>
        <v>1.063421431663823</v>
      </c>
      <c r="H31" s="4">
        <f>208000</f>
        <v>208000</v>
      </c>
      <c r="I31" s="1">
        <f t="shared" si="2"/>
        <v>1.0531186996414332</v>
      </c>
      <c r="J31" s="1">
        <f t="shared" si="3"/>
        <v>1.063421431663823</v>
      </c>
      <c r="K31" s="4">
        <f>208000</f>
        <v>208000</v>
      </c>
      <c r="L31" s="1">
        <f t="shared" si="4"/>
        <v>1.0531186996414332</v>
      </c>
      <c r="M31" s="1">
        <f t="shared" si="5"/>
        <v>1.063421431663823</v>
      </c>
    </row>
    <row r="32" spans="1:13" ht="15" outlineLevel="1">
      <c r="A32" s="19" t="s">
        <v>49</v>
      </c>
      <c r="B32" s="20" t="s">
        <v>24</v>
      </c>
      <c r="C32" s="4">
        <f>2177400</f>
        <v>2177400</v>
      </c>
      <c r="D32" s="4">
        <f>119464.7</f>
        <v>119464.7</v>
      </c>
      <c r="E32" s="4">
        <f>1400012.27</f>
        <v>1400012.27</v>
      </c>
      <c r="F32" s="1">
        <f t="shared" si="0"/>
        <v>0.6429743134013043</v>
      </c>
      <c r="G32" s="1">
        <f t="shared" si="1"/>
        <v>11.719045626030116</v>
      </c>
      <c r="H32" s="4">
        <f>1528068.19</f>
        <v>1528068.19</v>
      </c>
      <c r="I32" s="1">
        <f t="shared" si="2"/>
        <v>0.7017857031321759</v>
      </c>
      <c r="J32" s="1">
        <f t="shared" si="3"/>
        <v>12.790959923726422</v>
      </c>
      <c r="K32" s="4">
        <f>1528068.19</f>
        <v>1528068.19</v>
      </c>
      <c r="L32" s="1">
        <f t="shared" si="4"/>
        <v>0.7017857031321759</v>
      </c>
      <c r="M32" s="1">
        <f t="shared" si="5"/>
        <v>12.790959923726422</v>
      </c>
    </row>
    <row r="33" spans="1:13" s="18" customFormat="1" ht="15">
      <c r="A33" s="16" t="s">
        <v>50</v>
      </c>
      <c r="B33" s="17" t="s">
        <v>25</v>
      </c>
      <c r="C33" s="3">
        <f>C34</f>
        <v>351660</v>
      </c>
      <c r="D33" s="3">
        <f>D34</f>
        <v>157000</v>
      </c>
      <c r="E33" s="3">
        <f>E34</f>
        <v>205840</v>
      </c>
      <c r="F33" s="2">
        <f t="shared" si="0"/>
        <v>0.5853381106750839</v>
      </c>
      <c r="G33" s="2">
        <f t="shared" si="1"/>
        <v>1.3110828025477708</v>
      </c>
      <c r="H33" s="3">
        <f>H34</f>
        <v>235840</v>
      </c>
      <c r="I33" s="2">
        <f t="shared" si="2"/>
        <v>0.6706477847921287</v>
      </c>
      <c r="J33" s="2">
        <f t="shared" si="3"/>
        <v>1.5021656050955414</v>
      </c>
      <c r="K33" s="3">
        <f>K34</f>
        <v>235840</v>
      </c>
      <c r="L33" s="2">
        <f t="shared" si="4"/>
        <v>0.6706477847921287</v>
      </c>
      <c r="M33" s="2">
        <f t="shared" si="5"/>
        <v>1.5021656050955414</v>
      </c>
    </row>
    <row r="34" spans="1:13" ht="15" outlineLevel="1">
      <c r="A34" s="19" t="s">
        <v>51</v>
      </c>
      <c r="B34" s="20" t="s">
        <v>26</v>
      </c>
      <c r="C34" s="4">
        <f>351660</f>
        <v>351660</v>
      </c>
      <c r="D34" s="4">
        <f>157000</f>
        <v>157000</v>
      </c>
      <c r="E34" s="4">
        <f>205840</f>
        <v>205840</v>
      </c>
      <c r="F34" s="1">
        <f t="shared" si="0"/>
        <v>0.5853381106750839</v>
      </c>
      <c r="G34" s="1">
        <f t="shared" si="1"/>
        <v>1.3110828025477708</v>
      </c>
      <c r="H34" s="4">
        <f>235840</f>
        <v>235840</v>
      </c>
      <c r="I34" s="1">
        <f t="shared" si="2"/>
        <v>0.6706477847921287</v>
      </c>
      <c r="J34" s="1">
        <f t="shared" si="3"/>
        <v>1.5021656050955414</v>
      </c>
      <c r="K34" s="4">
        <f>235840</f>
        <v>235840</v>
      </c>
      <c r="L34" s="1">
        <f t="shared" si="4"/>
        <v>0.6706477847921287</v>
      </c>
      <c r="M34" s="1">
        <f t="shared" si="5"/>
        <v>1.5021656050955414</v>
      </c>
    </row>
    <row r="35" spans="1:13" s="18" customFormat="1" ht="25.5">
      <c r="A35" s="16" t="s">
        <v>52</v>
      </c>
      <c r="B35" s="17" t="s">
        <v>27</v>
      </c>
      <c r="C35" s="3">
        <f>C36</f>
        <v>34482.55</v>
      </c>
      <c r="D35" s="3">
        <f>D36</f>
        <v>12103.88</v>
      </c>
      <c r="E35" s="3">
        <f>E36</f>
        <v>0</v>
      </c>
      <c r="F35" s="2">
        <f t="shared" si="0"/>
        <v>0</v>
      </c>
      <c r="G35" s="2">
        <f t="shared" si="1"/>
        <v>0</v>
      </c>
      <c r="H35" s="3">
        <f>H36</f>
        <v>0</v>
      </c>
      <c r="I35" s="2">
        <f t="shared" si="2"/>
        <v>0</v>
      </c>
      <c r="J35" s="2">
        <f t="shared" si="3"/>
        <v>0</v>
      </c>
      <c r="K35" s="3">
        <f>K36</f>
        <v>0</v>
      </c>
      <c r="L35" s="2">
        <f t="shared" si="4"/>
        <v>0</v>
      </c>
      <c r="M35" s="2">
        <f t="shared" si="5"/>
        <v>0</v>
      </c>
    </row>
    <row r="36" spans="1:13" ht="25.5" outlineLevel="1">
      <c r="A36" s="19" t="s">
        <v>53</v>
      </c>
      <c r="B36" s="20" t="s">
        <v>28</v>
      </c>
      <c r="C36" s="4">
        <f>34482.55</f>
        <v>34482.55</v>
      </c>
      <c r="D36" s="4">
        <f>12103.88</f>
        <v>12103.88</v>
      </c>
      <c r="E36" s="4">
        <f>0</f>
        <v>0</v>
      </c>
      <c r="F36" s="1">
        <f t="shared" si="0"/>
        <v>0</v>
      </c>
      <c r="G36" s="1">
        <f t="shared" si="1"/>
        <v>0</v>
      </c>
      <c r="H36" s="4">
        <f>0</f>
        <v>0</v>
      </c>
      <c r="I36" s="1">
        <f t="shared" si="2"/>
        <v>0</v>
      </c>
      <c r="J36" s="1">
        <f t="shared" si="3"/>
        <v>0</v>
      </c>
      <c r="K36" s="4">
        <f>0</f>
        <v>0</v>
      </c>
      <c r="L36" s="1">
        <f t="shared" si="4"/>
        <v>0</v>
      </c>
      <c r="M36" s="1">
        <f t="shared" si="5"/>
        <v>0</v>
      </c>
    </row>
    <row r="37" spans="1:13" s="18" customFormat="1" ht="12.75" customHeight="1">
      <c r="A37" s="28" t="s">
        <v>69</v>
      </c>
      <c r="B37" s="28"/>
      <c r="C37" s="6">
        <f>C6+C13+C17+C21+C26+C28+C30+C33+C35</f>
        <v>73177949.15999998</v>
      </c>
      <c r="D37" s="6">
        <f>D6+D13+D17+D21+D26+D28+D30+D33+D35</f>
        <v>100929829.86</v>
      </c>
      <c r="E37" s="6">
        <f>E6+E13+E17+E21+E26+E28+E30+E33+E35</f>
        <v>75036607.82000001</v>
      </c>
      <c r="F37" s="2">
        <f>E37/C37</f>
        <v>1.0253991630174843</v>
      </c>
      <c r="G37" s="2">
        <f t="shared" si="1"/>
        <v>0.7434532280900845</v>
      </c>
      <c r="H37" s="6">
        <f>H6+H13+H17+H21+H26+H28+H30+H33+H35</f>
        <v>68382937.96</v>
      </c>
      <c r="I37" s="2">
        <f>H37/C37</f>
        <v>0.9344746435908455</v>
      </c>
      <c r="J37" s="2">
        <f>H37/D37</f>
        <v>0.6775295079250022</v>
      </c>
      <c r="K37" s="6">
        <f>K6+K13+K17+K21+K26+K28+K30+K33+K35</f>
        <v>68631560.82</v>
      </c>
      <c r="L37" s="2">
        <f>K37/C37</f>
        <v>0.9378721542187588</v>
      </c>
      <c r="M37" s="2">
        <f>K37/D37</f>
        <v>0.6799928318040265</v>
      </c>
    </row>
    <row r="38" spans="1:13" ht="15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22"/>
      <c r="M38" s="22"/>
    </row>
    <row r="39" ht="15">
      <c r="D39" s="24"/>
    </row>
  </sheetData>
  <sheetProtection/>
  <mergeCells count="4">
    <mergeCell ref="A2:K2"/>
    <mergeCell ref="A37:B37"/>
    <mergeCell ref="A38:K38"/>
    <mergeCell ref="A1:M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Жирякова</cp:lastModifiedBy>
  <cp:lastPrinted>2019-10-28T05:37:11Z</cp:lastPrinted>
  <dcterms:created xsi:type="dcterms:W3CDTF">2018-10-31T12:49:20Z</dcterms:created>
  <dcterms:modified xsi:type="dcterms:W3CDTF">2019-11-13T08:12:30Z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