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<sst xmlns="http://schemas.openxmlformats.org/spreadsheetml/2006/main" count="90" uniqueCount="90">
  <si>
    <t>0100</t>
  </si>
  <si>
    <t>0102</t>
  </si>
  <si>
    <t>0103</t>
  </si>
  <si>
    <t>0105</t>
  </si>
  <si>
    <t>0107</t>
  </si>
  <si>
    <t>0111</t>
  </si>
  <si>
    <t>0113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</si>
  <si>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</si>
  <si>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</si>
  <si>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</si>
  <si>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</si>
  <si>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</si>
  <si>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</si>
  <si>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</si>
  <si>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</si>
  <si>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</si>
  <si>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0503</t>
  </si>
  <si>
    <t>0505</t>
  </si>
  <si>
    <t>0700</t>
  </si>
  <si>
    <t>0707</t>
  </si>
  <si>
    <t>0800</t>
  </si>
  <si>
    <t>0801</t>
  </si>
  <si>
    <t>1000</t>
  </si>
  <si>
    <t>1001</t>
  </si>
  <si>
    <t>1003</t>
  </si>
  <si>
    <t>1100</t>
  </si>
  <si>
    <t>1102</t>
  </si>
  <si>
    <t>1300</t>
  </si>
  <si>
    <t>1301</t>
  </si>
  <si>
    <t>Раздел, подраздел</t>
  </si>
  <si>
    <t>0501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</si>
  <si>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</si>
  <si>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</si>
  <si>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</si>
  <si>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</si>
  <si>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</si>
  <si>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</si>
  <si>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</si>
  <si>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</si>
  <si>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</si>
  <si>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</si>
  <si>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</si>
  <si>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</si>
  <si>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</si>
  <si>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</si>
  <si>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</si>
  <si>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</si>
  <si>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</si>
  <si>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</si>
  <si>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</si>
  <si>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</si>
  <si>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</si>
  <si>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</si>
  <si>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</si>
  <si>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</si>
  <si>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</si>
  <si>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</si>
  <si>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</si>
  <si>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</si>
  <si>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</si>
  <si>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</si>
  <si>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</si>
  <si>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</si>
  <si>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</si>
  <si>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ИТОГО:</t>
  </si>
  <si>
    <t>(руб.)</t>
  </si>
  <si>
    <t>0314</t>
  </si>
  <si>
    <t>Другие вопросы в области национальной безопасности и правоохранительной деятельности</t>
  </si>
  <si>
    <t>Водное хозяйство</t>
  </si>
  <si>
    <t>0406</t>
  </si>
  <si>
    <t>0705</t>
  </si>
  <si>
    <t>Профессиональная подготовка, переподготовка и повышение квалификации</t>
  </si>
  <si>
    <t>Сведения о расходах бюджета Южского городского поселения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</si>
  <si>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</si>
  <si>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</si>
  <si>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>Проект на 2022 год</t>
  </si>
  <si>
    <t>2022 год к исполнению за 2020 год</t>
  </si>
  <si>
    <t>2022 год к ожидаемому исполнению за 2021 год</t>
  </si>
  <si>
    <t xml:space="preserve">Проект на 2023 год </t>
  </si>
  <si>
    <t>2023 год к исполнению за 2020 год</t>
  </si>
  <si>
    <t>2023 год к ожидаемому исполнению за 2021 год</t>
  </si>
  <si>
    <t>Проект на 2024 год</t>
  </si>
  <si>
    <t>2024 год к исполнению за 2020 год</t>
  </si>
  <si>
    <t>2024 год к ожидаемому исполнению за 2021 год</t>
  </si>
  <si>
    <t>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</si>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</sst>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5" fontId="46" fillId="0" borderId="2" xfId="83" applyNumberFormat="1" applyFont="1" applyFill="1" applyBorder="1" applyAlignment="1" applyProtection="1">
      <alignment horizontal="center" vertical="top" shrinkToFit="1"/>
      <protection/>
    </xf>
    <xf numFmtId="165" fontId="47" fillId="0" borderId="2" xfId="83" applyNumberFormat="1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29" fillId="0" borderId="0" xfId="39" applyFill="1">
      <alignment horizontal="center"/>
      <protection/>
    </xf>
    <xf numFmtId="0" fontId="28" fillId="0" borderId="0" xfId="40" applyNumberFormat="1" applyFill="1" applyAlignment="1" applyProtection="1">
      <alignment vertical="top"/>
      <protection/>
    </xf>
    <xf numFmtId="0" fontId="28" fillId="0" borderId="0" xfId="40" applyFill="1" applyAlignment="1">
      <alignment/>
      <protection/>
    </xf>
    <xf numFmtId="0" fontId="46" fillId="0" borderId="0" xfId="40" applyFont="1" applyFill="1" applyAlignment="1">
      <alignment horizontal="right"/>
      <protection/>
    </xf>
    <xf numFmtId="0" fontId="47" fillId="0" borderId="2" xfId="42" applyNumberFormat="1" applyFont="1" applyFill="1" applyAlignment="1" applyProtection="1">
      <alignment horizontal="center" vertical="center" wrapText="1"/>
      <protection/>
    </xf>
    <xf numFmtId="0" fontId="47" fillId="0" borderId="2" xfId="42" applyNumberFormat="1" applyFont="1" applyFill="1" applyProtection="1">
      <alignment horizontal="center" vertical="center" wrapText="1"/>
      <protection/>
    </xf>
    <xf numFmtId="0" fontId="46" fillId="0" borderId="2" xfId="42" applyNumberFormat="1" applyFont="1" applyFill="1" applyAlignment="1" applyProtection="1">
      <alignment horizontal="center" vertical="top" wrapText="1"/>
      <protection/>
    </xf>
    <xf numFmtId="0" fontId="46" fillId="0" borderId="2" xfId="42" applyNumberFormat="1" applyFont="1" applyFill="1" applyProtection="1">
      <alignment horizontal="center" vertical="center" wrapText="1"/>
      <protection/>
    </xf>
    <xf numFmtId="0" fontId="47" fillId="0" borderId="2" xfId="50" applyNumberFormat="1" applyFont="1" applyFill="1" applyAlignment="1" applyProtection="1">
      <alignment vertical="top" wrapText="1"/>
      <protection/>
    </xf>
    <xf numFmtId="0" fontId="47" fillId="0" borderId="2" xfId="50" applyNumberFormat="1" applyFont="1" applyFill="1" applyAlignment="1" applyProtection="1">
      <alignment horizontal="center" vertical="top" wrapText="1"/>
      <protection/>
    </xf>
    <xf numFmtId="0" fontId="24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Alignment="1" applyProtection="1">
      <alignment vertical="top" wrapText="1"/>
      <protection/>
    </xf>
    <xf numFmtId="0" fontId="46" fillId="0" borderId="2" xfId="50" applyNumberFormat="1" applyFont="1" applyFill="1" applyAlignment="1" applyProtection="1">
      <alignment horizontal="center" vertical="top" wrapText="1"/>
      <protection/>
    </xf>
    <xf numFmtId="49" fontId="46" fillId="0" borderId="2" xfId="50" applyNumberFormat="1" applyFont="1" applyFill="1" applyAlignment="1" applyProtection="1">
      <alignment horizontal="center" vertical="top" wrapText="1"/>
      <protection/>
    </xf>
    <xf numFmtId="0" fontId="28" fillId="0" borderId="0" xfId="49" applyFill="1">
      <alignment horizontal="left" wrapText="1"/>
      <protection/>
    </xf>
    <xf numFmtId="0" fontId="0" fillId="0" borderId="0" xfId="0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 locked="0"/>
    </xf>
    <xf numFmtId="4" fontId="47" fillId="0" borderId="2" xfId="52" applyNumberFormat="1" applyFont="1" applyFill="1" applyAlignment="1" applyProtection="1">
      <alignment horizontal="right" vertical="top" shrinkToFit="1"/>
      <protection/>
    </xf>
    <xf numFmtId="4" fontId="46" fillId="0" borderId="2" xfId="52" applyNumberFormat="1" applyFont="1" applyFill="1" applyAlignment="1" applyProtection="1">
      <alignment horizontal="right" vertical="top" shrinkToFit="1"/>
      <protection/>
    </xf>
    <xf numFmtId="4" fontId="2" fillId="0" borderId="2" xfId="52" applyNumberFormat="1" applyFont="1" applyFill="1" applyAlignment="1" applyProtection="1">
      <alignment horizontal="right" vertical="top" shrinkToFit="1"/>
      <protection/>
    </xf>
    <xf numFmtId="4" fontId="46" fillId="0" borderId="2" xfId="51" applyNumberFormat="1" applyFont="1" applyFill="1" applyAlignment="1" applyProtection="1">
      <alignment horizontal="right" vertical="top" shrinkToFit="1"/>
      <protection/>
    </xf>
    <xf numFmtId="4" fontId="47" fillId="0" borderId="14" xfId="46" applyNumberFormat="1" applyFont="1" applyFill="1" applyBorder="1" applyAlignment="1" applyProtection="1">
      <alignment horizontal="right" vertical="center" shrinkToFit="1"/>
      <protection/>
    </xf>
    <xf numFmtId="165" fontId="47" fillId="0" borderId="2" xfId="83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Font="1" applyFill="1" applyAlignment="1" applyProtection="1">
      <alignment vertical="center"/>
      <protection locked="0"/>
    </xf>
    <xf numFmtId="0" fontId="2" fillId="0" borderId="2" xfId="50" applyNumberFormat="1" applyFont="1" applyFill="1" applyAlignment="1" applyProtection="1">
      <alignment vertical="top" wrapText="1"/>
      <protection/>
    </xf>
    <xf numFmtId="0" fontId="29" fillId="0" borderId="0" xfId="39" applyNumberFormat="1" applyFill="1" applyProtection="1">
      <alignment horizontal="center"/>
      <protection/>
    </xf>
    <xf numFmtId="0" fontId="29" fillId="0" borderId="0" xfId="39" applyFill="1">
      <alignment horizontal="center"/>
      <protection/>
    </xf>
    <xf numFmtId="0" fontId="47" fillId="0" borderId="14" xfId="45" applyNumberFormat="1" applyFont="1" applyFill="1" applyBorder="1" applyAlignment="1" applyProtection="1">
      <alignment horizontal="right" vertical="center"/>
      <protection/>
    </xf>
    <xf numFmtId="0" fontId="28" fillId="0" borderId="0" xfId="49" applyNumberFormat="1" applyFill="1" applyProtection="1">
      <alignment horizontal="left" wrapText="1"/>
      <protection/>
    </xf>
    <xf numFmtId="0" fontId="28" fillId="0" borderId="0" xfId="49" applyFill="1">
      <alignment horizontal="left" wrapText="1"/>
      <protection/>
    </xf>
    <xf numFmtId="0" fontId="48" fillId="0" borderId="0" xfId="39" applyNumberFormat="1" applyFont="1" applyFill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50.00390625" style="19" customWidth="1"/>
    <col min="2" max="2" width="9.140625" style="19" customWidth="1"/>
    <col min="3" max="3" width="15.8515625" style="3" customWidth="1"/>
    <col min="4" max="4" width="16.57421875" style="3" customWidth="1"/>
    <col min="5" max="6" width="13.7109375" style="3" customWidth="1"/>
    <col min="7" max="7" width="15.00390625" style="3" customWidth="1"/>
    <col min="8" max="13" width="13.140625" style="3" customWidth="1"/>
    <col min="14" max="16384" width="9.140625" style="3" customWidth="1"/>
  </cols>
  <sheetData>
    <row r="1" spans="1:13" ht="33" customHeight="1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7.5" customHeight="1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4"/>
      <c r="M2" s="4"/>
    </row>
    <row r="3" spans="1:13" ht="12" customHeight="1">
      <c r="A3" s="5"/>
      <c r="B3" s="5"/>
      <c r="C3" s="6"/>
      <c r="D3" s="6"/>
      <c r="E3" s="6"/>
      <c r="F3" s="6"/>
      <c r="G3" s="6"/>
      <c r="H3" s="6"/>
      <c r="I3" s="6"/>
      <c r="J3" s="6"/>
      <c r="L3" s="6"/>
      <c r="M3" s="7" t="s">
        <v>65</v>
      </c>
    </row>
    <row r="4" spans="1:13" ht="53.25" customHeight="1">
      <c r="A4" s="8" t="s">
        <v>56</v>
      </c>
      <c r="B4" s="8" t="s">
        <v>29</v>
      </c>
      <c r="C4" s="9" t="s">
        <v>73</v>
      </c>
      <c r="D4" s="9" t="s">
        <v>74</v>
      </c>
      <c r="E4" s="9" t="s">
        <v>75</v>
      </c>
      <c r="F4" s="9" t="s">
        <v>76</v>
      </c>
      <c r="G4" s="9" t="s">
        <v>77</v>
      </c>
      <c r="H4" s="9" t="s">
        <v>78</v>
      </c>
      <c r="I4" s="9" t="s">
        <v>79</v>
      </c>
      <c r="J4" s="9" t="s">
        <v>80</v>
      </c>
      <c r="K4" s="9" t="s">
        <v>81</v>
      </c>
      <c r="L4" s="9" t="s">
        <v>82</v>
      </c>
      <c r="M4" s="9" t="s">
        <v>83</v>
      </c>
    </row>
    <row r="5" spans="1:13" ht="14.25" customHeight="1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11" t="s">
        <v>50</v>
      </c>
      <c r="G5" s="11" t="s">
        <v>51</v>
      </c>
      <c r="H5" s="11">
        <v>8</v>
      </c>
      <c r="I5" s="11" t="s">
        <v>52</v>
      </c>
      <c r="J5" s="11" t="s">
        <v>53</v>
      </c>
      <c r="K5" s="11">
        <v>11</v>
      </c>
      <c r="L5" s="11" t="s">
        <v>54</v>
      </c>
      <c r="M5" s="11" t="s">
        <v>55</v>
      </c>
    </row>
    <row r="6" spans="1:13" s="14" customFormat="1" ht="15">
      <c r="A6" s="12" t="s">
        <v>58</v>
      </c>
      <c r="B6" s="13" t="s">
        <v>0</v>
      </c>
      <c r="C6" s="21">
        <f>SUM(C7:C13)</f>
        <v>7899831.68</v>
      </c>
      <c r="D6" s="21">
        <f>SUM(D7:D13)</f>
        <v>7370563.4799999995</v>
      </c>
      <c r="E6" s="21">
        <f>SUM(E7:E13)</f>
        <v>7606025.11</v>
      </c>
      <c r="F6" s="2">
        <f>E6/C6</f>
        <v>0.9628085025224234</v>
      </c>
      <c r="G6" s="2">
        <f>E6/D6</f>
        <v>1.031946218310028</v>
      </c>
      <c r="H6" s="21">
        <f>SUM(H7:H13)</f>
        <v>7599580.99</v>
      </c>
      <c r="I6" s="2">
        <f>H6/C6</f>
        <v>0.9619927737498327</v>
      </c>
      <c r="J6" s="2">
        <f>H6/D6</f>
        <v>1.0310719133783244</v>
      </c>
      <c r="K6" s="21">
        <f>SUM(K7:K13)</f>
        <v>7599580.99</v>
      </c>
      <c r="L6" s="2">
        <f>K6/C6</f>
        <v>0.9619927737498327</v>
      </c>
      <c r="M6" s="2">
        <f>K6/D6</f>
        <v>1.0310719133783244</v>
      </c>
    </row>
    <row r="7" spans="1:13" ht="25.5" outlineLevel="1">
      <c r="A7" s="15" t="s">
        <v>57</v>
      </c>
      <c r="B7" s="16" t="s">
        <v>1</v>
      </c>
      <c r="C7" s="22">
        <f>803932.04</f>
        <v>803932.04</v>
      </c>
      <c r="D7" s="22">
        <f>770293.69</f>
        <v>770293.69</v>
      </c>
      <c r="E7" s="22">
        <f>848121.96</f>
        <v>848121.96</v>
      </c>
      <c r="F7" s="1">
        <f aca="true" t="shared" si="0" ref="F7:F39">E7/C7</f>
        <v>1.0549672332999689</v>
      </c>
      <c r="G7" s="1">
        <f aca="true" t="shared" si="1" ref="G7:G40">E7/D7</f>
        <v>1.1010371381855666</v>
      </c>
      <c r="H7" s="22">
        <f>848121.96</f>
        <v>848121.96</v>
      </c>
      <c r="I7" s="1">
        <f aca="true" t="shared" si="2" ref="I7:I39">H7/C7</f>
        <v>1.0549672332999689</v>
      </c>
      <c r="J7" s="1">
        <f aca="true" t="shared" si="3" ref="J7:J39">H7/D7</f>
        <v>1.1010371381855666</v>
      </c>
      <c r="K7" s="22">
        <f>848121.96</f>
        <v>848121.96</v>
      </c>
      <c r="L7" s="1">
        <f aca="true" t="shared" si="4" ref="L7:L39">K7/C7</f>
        <v>1.0549672332999689</v>
      </c>
      <c r="M7" s="1">
        <f aca="true" t="shared" si="5" ref="M7:M39">K7/D7</f>
        <v>1.1010371381855666</v>
      </c>
    </row>
    <row r="8" spans="1:13" ht="38.25" outlineLevel="1">
      <c r="A8" s="15" t="s">
        <v>59</v>
      </c>
      <c r="B8" s="16" t="s">
        <v>2</v>
      </c>
      <c r="C8" s="22">
        <f>1641855.9</f>
        <v>1641855.9</v>
      </c>
      <c r="D8" s="22">
        <f>1719208.07</f>
        <v>1719208.07</v>
      </c>
      <c r="E8" s="22">
        <f>1734410.92</f>
        <v>1734410.92</v>
      </c>
      <c r="F8" s="1">
        <f t="shared" si="0"/>
        <v>1.0563721944173055</v>
      </c>
      <c r="G8" s="1">
        <f t="shared" si="1"/>
        <v>1.0088429377835575</v>
      </c>
      <c r="H8" s="22">
        <f>1727966.8</f>
        <v>1727966.8</v>
      </c>
      <c r="I8" s="1">
        <f t="shared" si="2"/>
        <v>1.0524472945524637</v>
      </c>
      <c r="J8" s="1">
        <f t="shared" si="3"/>
        <v>1.005094630576042</v>
      </c>
      <c r="K8" s="22">
        <f>1727966.8</f>
        <v>1727966.8</v>
      </c>
      <c r="L8" s="1">
        <f t="shared" si="4"/>
        <v>1.0524472945524637</v>
      </c>
      <c r="M8" s="1">
        <f t="shared" si="5"/>
        <v>1.005094630576042</v>
      </c>
    </row>
    <row r="9" spans="1:13" ht="15" outlineLevel="1">
      <c r="A9" s="15" t="s">
        <v>60</v>
      </c>
      <c r="B9" s="16" t="s">
        <v>3</v>
      </c>
      <c r="C9" s="22">
        <f>13783</f>
        <v>13783</v>
      </c>
      <c r="D9" s="23">
        <f>0</f>
        <v>0</v>
      </c>
      <c r="E9" s="22">
        <f>0</f>
        <v>0</v>
      </c>
      <c r="F9" s="1">
        <f t="shared" si="0"/>
        <v>0</v>
      </c>
      <c r="G9" s="1" t="e">
        <f t="shared" si="1"/>
        <v>#DIV/0!</v>
      </c>
      <c r="H9" s="22">
        <f>0</f>
        <v>0</v>
      </c>
      <c r="I9" s="1">
        <f t="shared" si="2"/>
        <v>0</v>
      </c>
      <c r="J9" s="1" t="e">
        <f t="shared" si="3"/>
        <v>#DIV/0!</v>
      </c>
      <c r="K9" s="22">
        <f>0</f>
        <v>0</v>
      </c>
      <c r="L9" s="1">
        <f t="shared" si="4"/>
        <v>0</v>
      </c>
      <c r="M9" s="1" t="e">
        <f t="shared" si="5"/>
        <v>#DIV/0!</v>
      </c>
    </row>
    <row r="10" spans="1:13" ht="39.75" customHeight="1" outlineLevel="1">
      <c r="A10" s="15" t="s">
        <v>86</v>
      </c>
      <c r="B10" s="17" t="s">
        <v>85</v>
      </c>
      <c r="C10" s="22">
        <f>2100</f>
        <v>2100</v>
      </c>
      <c r="D10" s="23">
        <f>3600</f>
        <v>3600</v>
      </c>
      <c r="E10" s="22">
        <f>0</f>
        <v>0</v>
      </c>
      <c r="F10" s="1"/>
      <c r="G10" s="1">
        <f t="shared" si="1"/>
        <v>0</v>
      </c>
      <c r="H10" s="22">
        <f>0</f>
        <v>0</v>
      </c>
      <c r="I10" s="1">
        <f t="shared" si="2"/>
        <v>0</v>
      </c>
      <c r="J10" s="1">
        <f t="shared" si="3"/>
        <v>0</v>
      </c>
      <c r="K10" s="22">
        <f>0</f>
        <v>0</v>
      </c>
      <c r="L10" s="1">
        <f t="shared" si="4"/>
        <v>0</v>
      </c>
      <c r="M10" s="1">
        <f t="shared" si="5"/>
        <v>0</v>
      </c>
    </row>
    <row r="11" spans="1:13" ht="15" outlineLevel="1">
      <c r="A11" s="15" t="s">
        <v>61</v>
      </c>
      <c r="B11" s="16" t="s">
        <v>4</v>
      </c>
      <c r="C11" s="22">
        <f>1249943.71</f>
        <v>1249943.71</v>
      </c>
      <c r="D11" s="22">
        <f>0</f>
        <v>0</v>
      </c>
      <c r="E11" s="22">
        <f>0</f>
        <v>0</v>
      </c>
      <c r="F11" s="1">
        <f>0</f>
        <v>0</v>
      </c>
      <c r="G11" s="1">
        <f>0</f>
        <v>0</v>
      </c>
      <c r="H11" s="22">
        <f>0</f>
        <v>0</v>
      </c>
      <c r="I11" s="1">
        <f t="shared" si="2"/>
        <v>0</v>
      </c>
      <c r="J11" s="1">
        <f>0</f>
        <v>0</v>
      </c>
      <c r="K11" s="22">
        <f>0</f>
        <v>0</v>
      </c>
      <c r="L11" s="1">
        <f t="shared" si="4"/>
        <v>0</v>
      </c>
      <c r="M11" s="1" t="e">
        <f t="shared" si="5"/>
        <v>#DIV/0!</v>
      </c>
    </row>
    <row r="12" spans="1:13" ht="15" outlineLevel="1">
      <c r="A12" s="15" t="s">
        <v>62</v>
      </c>
      <c r="B12" s="16" t="s">
        <v>5</v>
      </c>
      <c r="C12" s="22">
        <f>0</f>
        <v>0</v>
      </c>
      <c r="D12" s="22">
        <f>0</f>
        <v>0</v>
      </c>
      <c r="E12" s="22">
        <f>300000</f>
        <v>300000</v>
      </c>
      <c r="F12" s="1">
        <f>0</f>
        <v>0</v>
      </c>
      <c r="G12" s="1">
        <f>0</f>
        <v>0</v>
      </c>
      <c r="H12" s="22">
        <f>300000</f>
        <v>300000</v>
      </c>
      <c r="I12" s="1" t="e">
        <f t="shared" si="2"/>
        <v>#DIV/0!</v>
      </c>
      <c r="J12" s="1">
        <f>0</f>
        <v>0</v>
      </c>
      <c r="K12" s="22">
        <f>300000</f>
        <v>300000</v>
      </c>
      <c r="L12" s="1" t="e">
        <f t="shared" si="4"/>
        <v>#DIV/0!</v>
      </c>
      <c r="M12" s="1" t="e">
        <f t="shared" si="5"/>
        <v>#DIV/0!</v>
      </c>
    </row>
    <row r="13" spans="1:13" ht="15" outlineLevel="1">
      <c r="A13" s="15" t="s">
        <v>63</v>
      </c>
      <c r="B13" s="16" t="s">
        <v>6</v>
      </c>
      <c r="C13" s="22">
        <f>4188217.03</f>
        <v>4188217.03</v>
      </c>
      <c r="D13" s="22">
        <f>4877461.72</f>
        <v>4877461.72</v>
      </c>
      <c r="E13" s="22">
        <f>4723492.23</f>
        <v>4723492.23</v>
      </c>
      <c r="F13" s="1">
        <f t="shared" si="0"/>
        <v>1.1278050292441508</v>
      </c>
      <c r="G13" s="1">
        <f t="shared" si="1"/>
        <v>0.9684324554780925</v>
      </c>
      <c r="H13" s="22">
        <f>4723492.23</f>
        <v>4723492.23</v>
      </c>
      <c r="I13" s="1">
        <f t="shared" si="2"/>
        <v>1.1278050292441508</v>
      </c>
      <c r="J13" s="1">
        <f t="shared" si="3"/>
        <v>0.9684324554780925</v>
      </c>
      <c r="K13" s="22">
        <f>4723492.23</f>
        <v>4723492.23</v>
      </c>
      <c r="L13" s="1">
        <f t="shared" si="4"/>
        <v>1.1278050292441508</v>
      </c>
      <c r="M13" s="1">
        <f t="shared" si="5"/>
        <v>0.9684324554780925</v>
      </c>
    </row>
    <row r="14" spans="1:13" s="14" customFormat="1" ht="25.5">
      <c r="A14" s="12" t="s">
        <v>31</v>
      </c>
      <c r="B14" s="13" t="s">
        <v>7</v>
      </c>
      <c r="C14" s="21">
        <f>SUM(C15:C17)</f>
        <v>400250</v>
      </c>
      <c r="D14" s="21">
        <f>SUM(D15:D17)</f>
        <v>487205</v>
      </c>
      <c r="E14" s="21">
        <f>SUM(E15:E17)</f>
        <v>473500</v>
      </c>
      <c r="F14" s="2">
        <f t="shared" si="0"/>
        <v>1.1830106183635227</v>
      </c>
      <c r="G14" s="2">
        <f t="shared" si="1"/>
        <v>0.9718701573259716</v>
      </c>
      <c r="H14" s="21">
        <f>SUM(H15:H17)</f>
        <v>473500</v>
      </c>
      <c r="I14" s="2">
        <f t="shared" si="2"/>
        <v>1.1830106183635227</v>
      </c>
      <c r="J14" s="2">
        <f t="shared" si="3"/>
        <v>0.9718701573259716</v>
      </c>
      <c r="K14" s="21">
        <f>SUM(K15:K17)</f>
        <v>473500</v>
      </c>
      <c r="L14" s="2">
        <f t="shared" si="4"/>
        <v>1.1830106183635227</v>
      </c>
      <c r="M14" s="2">
        <f t="shared" si="5"/>
        <v>0.9718701573259716</v>
      </c>
    </row>
    <row r="15" spans="1:13" ht="16.5" customHeight="1" outlineLevel="1">
      <c r="A15" s="28" t="s">
        <v>84</v>
      </c>
      <c r="B15" s="16" t="s">
        <v>8</v>
      </c>
      <c r="C15" s="22">
        <f>0</f>
        <v>0</v>
      </c>
      <c r="D15" s="22">
        <f>12000</f>
        <v>12000</v>
      </c>
      <c r="E15" s="22">
        <f>12000</f>
        <v>12000</v>
      </c>
      <c r="F15" s="1" t="e">
        <f t="shared" si="0"/>
        <v>#DIV/0!</v>
      </c>
      <c r="G15" s="1">
        <f t="shared" si="1"/>
        <v>1</v>
      </c>
      <c r="H15" s="22">
        <f>12000</f>
        <v>12000</v>
      </c>
      <c r="I15" s="1" t="e">
        <f t="shared" si="2"/>
        <v>#DIV/0!</v>
      </c>
      <c r="J15" s="1">
        <f t="shared" si="3"/>
        <v>1</v>
      </c>
      <c r="K15" s="22">
        <f>12000</f>
        <v>12000</v>
      </c>
      <c r="L15" s="1" t="e">
        <f t="shared" si="4"/>
        <v>#DIV/0!</v>
      </c>
      <c r="M15" s="1">
        <f t="shared" si="5"/>
        <v>1</v>
      </c>
    </row>
    <row r="16" spans="1:13" ht="40.5" customHeight="1" outlineLevel="1">
      <c r="A16" s="15" t="s">
        <v>89</v>
      </c>
      <c r="B16" s="16" t="s">
        <v>9</v>
      </c>
      <c r="C16" s="22">
        <f>166750</f>
        <v>166750</v>
      </c>
      <c r="D16" s="22">
        <f>195205</f>
        <v>195205</v>
      </c>
      <c r="E16" s="22">
        <f>261500</f>
        <v>261500</v>
      </c>
      <c r="F16" s="1">
        <f t="shared" si="0"/>
        <v>1.568215892053973</v>
      </c>
      <c r="G16" s="1">
        <f t="shared" si="1"/>
        <v>1.339617325375887</v>
      </c>
      <c r="H16" s="22">
        <f>261500</f>
        <v>261500</v>
      </c>
      <c r="I16" s="1">
        <f t="shared" si="2"/>
        <v>1.568215892053973</v>
      </c>
      <c r="J16" s="1">
        <f t="shared" si="3"/>
        <v>1.339617325375887</v>
      </c>
      <c r="K16" s="22">
        <f>261500</f>
        <v>261500</v>
      </c>
      <c r="L16" s="1">
        <f t="shared" si="4"/>
        <v>1.568215892053973</v>
      </c>
      <c r="M16" s="1">
        <f t="shared" si="5"/>
        <v>1.339617325375887</v>
      </c>
    </row>
    <row r="17" spans="1:13" ht="25.5" outlineLevel="1">
      <c r="A17" s="15" t="s">
        <v>67</v>
      </c>
      <c r="B17" s="17" t="s">
        <v>66</v>
      </c>
      <c r="C17" s="22">
        <f>233500</f>
        <v>233500</v>
      </c>
      <c r="D17" s="22">
        <f>280000</f>
        <v>280000</v>
      </c>
      <c r="E17" s="22">
        <f>200000</f>
        <v>200000</v>
      </c>
      <c r="F17" s="1">
        <f t="shared" si="0"/>
        <v>0.8565310492505354</v>
      </c>
      <c r="G17" s="1">
        <f t="shared" si="1"/>
        <v>0.7142857142857143</v>
      </c>
      <c r="H17" s="22">
        <f>200000</f>
        <v>200000</v>
      </c>
      <c r="I17" s="1">
        <f t="shared" si="2"/>
        <v>0.8565310492505354</v>
      </c>
      <c r="J17" s="1">
        <f t="shared" si="3"/>
        <v>0.7142857142857143</v>
      </c>
      <c r="K17" s="22">
        <f>200000</f>
        <v>200000</v>
      </c>
      <c r="L17" s="1">
        <f t="shared" si="4"/>
        <v>0.8565310492505354</v>
      </c>
      <c r="M17" s="1">
        <f t="shared" si="5"/>
        <v>0.7142857142857143</v>
      </c>
    </row>
    <row r="18" spans="1:13" s="14" customFormat="1" ht="15">
      <c r="A18" s="12" t="s">
        <v>32</v>
      </c>
      <c r="B18" s="13" t="s">
        <v>10</v>
      </c>
      <c r="C18" s="21">
        <f>SUM(C19:C22)</f>
        <v>43437498.089999996</v>
      </c>
      <c r="D18" s="21">
        <f>SUM(D19:D22)</f>
        <v>47821148.160000004</v>
      </c>
      <c r="E18" s="21">
        <f>SUM(E19:E22)</f>
        <v>28266964.73</v>
      </c>
      <c r="F18" s="2">
        <f t="shared" si="0"/>
        <v>0.6507502957797541</v>
      </c>
      <c r="G18" s="2">
        <f t="shared" si="1"/>
        <v>0.5910975753953959</v>
      </c>
      <c r="H18" s="21">
        <f>SUM(H19:H22)</f>
        <v>22557432.51</v>
      </c>
      <c r="I18" s="2">
        <f t="shared" si="2"/>
        <v>0.519307821625967</v>
      </c>
      <c r="J18" s="2">
        <f t="shared" si="3"/>
        <v>0.4717041179046421</v>
      </c>
      <c r="K18" s="21">
        <f>SUM(K19:K22)</f>
        <v>20397006.72</v>
      </c>
      <c r="L18" s="2">
        <f t="shared" si="4"/>
        <v>0.4695713983742474</v>
      </c>
      <c r="M18" s="2">
        <f t="shared" si="5"/>
        <v>0.42652691340148696</v>
      </c>
    </row>
    <row r="19" spans="1:13" s="20" customFormat="1" ht="15">
      <c r="A19" s="15" t="s">
        <v>68</v>
      </c>
      <c r="B19" s="17" t="s">
        <v>69</v>
      </c>
      <c r="C19" s="22">
        <f>171995.62</f>
        <v>171995.62</v>
      </c>
      <c r="D19" s="22">
        <f>342000</f>
        <v>342000</v>
      </c>
      <c r="E19" s="22">
        <f>340000</f>
        <v>340000</v>
      </c>
      <c r="F19" s="1">
        <f t="shared" si="0"/>
        <v>1.9767945253489596</v>
      </c>
      <c r="G19" s="1">
        <f t="shared" si="1"/>
        <v>0.9941520467836257</v>
      </c>
      <c r="H19" s="22">
        <f>340000</f>
        <v>340000</v>
      </c>
      <c r="I19" s="1">
        <f t="shared" si="2"/>
        <v>1.9767945253489596</v>
      </c>
      <c r="J19" s="1">
        <f t="shared" si="3"/>
        <v>0.9941520467836257</v>
      </c>
      <c r="K19" s="22">
        <f>340000</f>
        <v>340000</v>
      </c>
      <c r="L19" s="1">
        <f t="shared" si="4"/>
        <v>1.9767945253489596</v>
      </c>
      <c r="M19" s="1">
        <f t="shared" si="5"/>
        <v>0.9941520467836257</v>
      </c>
    </row>
    <row r="20" spans="1:13" ht="15" outlineLevel="1">
      <c r="A20" s="15" t="s">
        <v>33</v>
      </c>
      <c r="B20" s="16" t="s">
        <v>11</v>
      </c>
      <c r="C20" s="22">
        <f>2666252.32</f>
        <v>2666252.32</v>
      </c>
      <c r="D20" s="22">
        <f>3210983.2</f>
        <v>3210983.2</v>
      </c>
      <c r="E20" s="22">
        <f>3127295.1</f>
        <v>3127295.1</v>
      </c>
      <c r="F20" s="1">
        <f t="shared" si="0"/>
        <v>1.1729179104849312</v>
      </c>
      <c r="G20" s="1">
        <f t="shared" si="1"/>
        <v>0.9739369237434814</v>
      </c>
      <c r="H20" s="22">
        <f>3127295.1</f>
        <v>3127295.1</v>
      </c>
      <c r="I20" s="1">
        <f t="shared" si="2"/>
        <v>1.1729179104849312</v>
      </c>
      <c r="J20" s="1">
        <f t="shared" si="3"/>
        <v>0.9739369237434814</v>
      </c>
      <c r="K20" s="22">
        <f>3139821.56</f>
        <v>3139821.56</v>
      </c>
      <c r="L20" s="1">
        <f t="shared" si="4"/>
        <v>1.1776160629838666</v>
      </c>
      <c r="M20" s="1">
        <f t="shared" si="5"/>
        <v>0.9778380528431291</v>
      </c>
    </row>
    <row r="21" spans="1:13" ht="15" outlineLevel="1">
      <c r="A21" s="15" t="s">
        <v>34</v>
      </c>
      <c r="B21" s="16" t="s">
        <v>12</v>
      </c>
      <c r="C21" s="22">
        <f>40578150.15</f>
        <v>40578150.15</v>
      </c>
      <c r="D21" s="22">
        <f>44208164.96</f>
        <v>44208164.96</v>
      </c>
      <c r="E21" s="22">
        <f>24739669.63</f>
        <v>24739669.63</v>
      </c>
      <c r="F21" s="1">
        <f t="shared" si="0"/>
        <v>0.609679582202443</v>
      </c>
      <c r="G21" s="1">
        <f t="shared" si="1"/>
        <v>0.5596176555255054</v>
      </c>
      <c r="H21" s="22">
        <f>19030137.41</f>
        <v>19030137.41</v>
      </c>
      <c r="I21" s="1">
        <f t="shared" si="2"/>
        <v>0.4689749862833508</v>
      </c>
      <c r="J21" s="1">
        <f t="shared" si="3"/>
        <v>0.43046657619058976</v>
      </c>
      <c r="K21" s="22">
        <f>16857185.16</f>
        <v>16857185.16</v>
      </c>
      <c r="L21" s="1">
        <f t="shared" si="4"/>
        <v>0.4154251758073304</v>
      </c>
      <c r="M21" s="1">
        <f t="shared" si="5"/>
        <v>0.3813138404467264</v>
      </c>
    </row>
    <row r="22" spans="1:13" ht="15" outlineLevel="1">
      <c r="A22" s="15" t="s">
        <v>35</v>
      </c>
      <c r="B22" s="16" t="s">
        <v>13</v>
      </c>
      <c r="C22" s="22">
        <f>21100</f>
        <v>21100</v>
      </c>
      <c r="D22" s="22">
        <f>60000</f>
        <v>60000</v>
      </c>
      <c r="E22" s="22">
        <f>60000</f>
        <v>60000</v>
      </c>
      <c r="F22" s="1">
        <f t="shared" si="0"/>
        <v>2.843601895734597</v>
      </c>
      <c r="G22" s="1">
        <f t="shared" si="1"/>
        <v>1</v>
      </c>
      <c r="H22" s="22">
        <f>60000</f>
        <v>60000</v>
      </c>
      <c r="I22" s="1">
        <f t="shared" si="2"/>
        <v>2.843601895734597</v>
      </c>
      <c r="J22" s="1">
        <f t="shared" si="3"/>
        <v>1</v>
      </c>
      <c r="K22" s="22">
        <f>60000</f>
        <v>60000</v>
      </c>
      <c r="L22" s="1">
        <f t="shared" si="4"/>
        <v>2.843601895734597</v>
      </c>
      <c r="M22" s="1">
        <f t="shared" si="5"/>
        <v>1</v>
      </c>
    </row>
    <row r="23" spans="1:13" s="14" customFormat="1" ht="15">
      <c r="A23" s="12" t="s">
        <v>36</v>
      </c>
      <c r="B23" s="13" t="s">
        <v>14</v>
      </c>
      <c r="C23" s="21">
        <f>SUM(C24:C27)</f>
        <v>118326967.83</v>
      </c>
      <c r="D23" s="21">
        <f>SUM(D24:D27)</f>
        <v>37925148.94</v>
      </c>
      <c r="E23" s="21">
        <f>SUM(E24:E27)</f>
        <v>21416780.83</v>
      </c>
      <c r="F23" s="2">
        <f t="shared" si="0"/>
        <v>0.18099661660196872</v>
      </c>
      <c r="G23" s="2">
        <f t="shared" si="1"/>
        <v>0.5647118450050839</v>
      </c>
      <c r="H23" s="21">
        <f>SUM(H24:H27)</f>
        <v>17310478.43</v>
      </c>
      <c r="I23" s="2">
        <f t="shared" si="2"/>
        <v>0.14629360278098152</v>
      </c>
      <c r="J23" s="2">
        <f t="shared" si="3"/>
        <v>0.45643798149313214</v>
      </c>
      <c r="K23" s="21">
        <f>SUM(K24:K27)</f>
        <v>18136595.990000002</v>
      </c>
      <c r="L23" s="2">
        <f t="shared" si="4"/>
        <v>0.1532752534997499</v>
      </c>
      <c r="M23" s="2">
        <f t="shared" si="5"/>
        <v>0.47822082435835</v>
      </c>
    </row>
    <row r="24" spans="1:13" ht="15">
      <c r="A24" s="15" t="s">
        <v>37</v>
      </c>
      <c r="B24" s="17" t="s">
        <v>30</v>
      </c>
      <c r="C24" s="22">
        <f>1211977.06</f>
        <v>1211977.06</v>
      </c>
      <c r="D24" s="22">
        <f>2199425.87</f>
        <v>2199425.87</v>
      </c>
      <c r="E24" s="22">
        <f>1600103</f>
        <v>1600103</v>
      </c>
      <c r="F24" s="1">
        <f t="shared" si="0"/>
        <v>1.3202419854382392</v>
      </c>
      <c r="G24" s="1">
        <f t="shared" si="1"/>
        <v>0.727509402260509</v>
      </c>
      <c r="H24" s="22">
        <f>1700103</f>
        <v>1700103</v>
      </c>
      <c r="I24" s="1">
        <f t="shared" si="2"/>
        <v>1.402751797958948</v>
      </c>
      <c r="J24" s="1">
        <f t="shared" si="3"/>
        <v>0.7729758130015993</v>
      </c>
      <c r="K24" s="22">
        <f>1643135.65</f>
        <v>1643135.65</v>
      </c>
      <c r="L24" s="1">
        <f t="shared" si="4"/>
        <v>1.355748144275932</v>
      </c>
      <c r="M24" s="1">
        <f t="shared" si="5"/>
        <v>0.7470748036622847</v>
      </c>
    </row>
    <row r="25" spans="1:13" ht="15" outlineLevel="1">
      <c r="A25" s="15" t="s">
        <v>38</v>
      </c>
      <c r="B25" s="17" t="s">
        <v>15</v>
      </c>
      <c r="C25" s="22">
        <f>6658991.73</f>
        <v>6658991.73</v>
      </c>
      <c r="D25" s="22">
        <f>12282888.81</f>
        <v>12282888.81</v>
      </c>
      <c r="E25" s="22">
        <f>3089572</f>
        <v>3089572</v>
      </c>
      <c r="F25" s="1">
        <f t="shared" si="0"/>
        <v>0.46396994098684663</v>
      </c>
      <c r="G25" s="1">
        <f t="shared" si="1"/>
        <v>0.25153463878014215</v>
      </c>
      <c r="H25" s="22">
        <f>3089572</f>
        <v>3089572</v>
      </c>
      <c r="I25" s="1">
        <f t="shared" si="2"/>
        <v>0.46396994098684663</v>
      </c>
      <c r="J25" s="1">
        <f t="shared" si="3"/>
        <v>0.25153463878014215</v>
      </c>
      <c r="K25" s="22">
        <f>3089572</f>
        <v>3089572</v>
      </c>
      <c r="L25" s="1">
        <f t="shared" si="4"/>
        <v>0.46396994098684663</v>
      </c>
      <c r="M25" s="1">
        <f t="shared" si="5"/>
        <v>0.25153463878014215</v>
      </c>
    </row>
    <row r="26" spans="1:13" ht="15" outlineLevel="1">
      <c r="A26" s="15" t="s">
        <v>39</v>
      </c>
      <c r="B26" s="17" t="s">
        <v>16</v>
      </c>
      <c r="C26" s="22">
        <f>54479972.39</f>
        <v>54479972.39</v>
      </c>
      <c r="D26" s="22">
        <f>23442834.26</f>
        <v>23442834.26</v>
      </c>
      <c r="E26" s="22">
        <f>16727105.83</f>
        <v>16727105.83</v>
      </c>
      <c r="F26" s="1">
        <f t="shared" si="0"/>
        <v>0.3070322009390431</v>
      </c>
      <c r="G26" s="1">
        <f t="shared" si="1"/>
        <v>0.7135274533993143</v>
      </c>
      <c r="H26" s="22">
        <f>12520803.43</f>
        <v>12520803.43</v>
      </c>
      <c r="I26" s="1">
        <f t="shared" si="2"/>
        <v>0.22982396797796908</v>
      </c>
      <c r="J26" s="1">
        <f t="shared" si="3"/>
        <v>0.5340993879466176</v>
      </c>
      <c r="K26" s="22">
        <f>13403888.34</f>
        <v>13403888.34</v>
      </c>
      <c r="L26" s="1">
        <f t="shared" si="4"/>
        <v>0.24603331741886736</v>
      </c>
      <c r="M26" s="1">
        <f t="shared" si="5"/>
        <v>0.5717691039974105</v>
      </c>
    </row>
    <row r="27" spans="1:13" ht="25.5" outlineLevel="1">
      <c r="A27" s="15" t="s">
        <v>40</v>
      </c>
      <c r="B27" s="17" t="s">
        <v>17</v>
      </c>
      <c r="C27" s="22">
        <f>55976026.65</f>
        <v>55976026.65</v>
      </c>
      <c r="D27" s="22">
        <f>0</f>
        <v>0</v>
      </c>
      <c r="E27" s="22">
        <f>0</f>
        <v>0</v>
      </c>
      <c r="F27" s="1">
        <f t="shared" si="0"/>
        <v>0</v>
      </c>
      <c r="G27" s="1" t="e">
        <f t="shared" si="1"/>
        <v>#DIV/0!</v>
      </c>
      <c r="H27" s="22">
        <f>0</f>
        <v>0</v>
      </c>
      <c r="I27" s="1">
        <f t="shared" si="2"/>
        <v>0</v>
      </c>
      <c r="J27" s="1" t="e">
        <f t="shared" si="3"/>
        <v>#DIV/0!</v>
      </c>
      <c r="K27" s="22">
        <f>0</f>
        <v>0</v>
      </c>
      <c r="L27" s="1">
        <f t="shared" si="4"/>
        <v>0</v>
      </c>
      <c r="M27" s="1" t="e">
        <f t="shared" si="5"/>
        <v>#DIV/0!</v>
      </c>
    </row>
    <row r="28" spans="1:13" s="14" customFormat="1" ht="15">
      <c r="A28" s="12" t="s">
        <v>41</v>
      </c>
      <c r="B28" s="13" t="s">
        <v>18</v>
      </c>
      <c r="C28" s="21">
        <f>SUM(C29:C30)</f>
        <v>36994</v>
      </c>
      <c r="D28" s="21">
        <f>SUM(D29:D30)</f>
        <v>60720</v>
      </c>
      <c r="E28" s="21">
        <f>SUM(E29:E30)</f>
        <v>38720</v>
      </c>
      <c r="F28" s="2">
        <f t="shared" si="0"/>
        <v>1.0466562145212737</v>
      </c>
      <c r="G28" s="2">
        <f t="shared" si="1"/>
        <v>0.6376811594202898</v>
      </c>
      <c r="H28" s="21">
        <f>SUM(H29:H30)</f>
        <v>38720</v>
      </c>
      <c r="I28" s="2">
        <f t="shared" si="2"/>
        <v>1.0466562145212737</v>
      </c>
      <c r="J28" s="2">
        <f t="shared" si="3"/>
        <v>0.6376811594202898</v>
      </c>
      <c r="K28" s="21">
        <f>SUM(K29:K30)</f>
        <v>38720</v>
      </c>
      <c r="L28" s="2">
        <f t="shared" si="4"/>
        <v>1.0466562145212737</v>
      </c>
      <c r="M28" s="2">
        <f t="shared" si="5"/>
        <v>0.6376811594202898</v>
      </c>
    </row>
    <row r="29" spans="1:13" s="20" customFormat="1" ht="25.5">
      <c r="A29" s="15" t="s">
        <v>71</v>
      </c>
      <c r="B29" s="17" t="s">
        <v>70</v>
      </c>
      <c r="C29" s="22">
        <f>12000</f>
        <v>12000</v>
      </c>
      <c r="D29" s="22">
        <f>22000</f>
        <v>22000</v>
      </c>
      <c r="E29" s="22">
        <f>0</f>
        <v>0</v>
      </c>
      <c r="F29" s="1">
        <f t="shared" si="0"/>
        <v>0</v>
      </c>
      <c r="G29" s="1">
        <f t="shared" si="1"/>
        <v>0</v>
      </c>
      <c r="H29" s="22">
        <f>0</f>
        <v>0</v>
      </c>
      <c r="I29" s="1">
        <f t="shared" si="2"/>
        <v>0</v>
      </c>
      <c r="J29" s="1">
        <f t="shared" si="3"/>
        <v>0</v>
      </c>
      <c r="K29" s="22">
        <f>0</f>
        <v>0</v>
      </c>
      <c r="L29" s="1">
        <f t="shared" si="4"/>
        <v>0</v>
      </c>
      <c r="M29" s="1">
        <f t="shared" si="5"/>
        <v>0</v>
      </c>
    </row>
    <row r="30" spans="1:13" ht="15" outlineLevel="1">
      <c r="A30" s="15" t="s">
        <v>42</v>
      </c>
      <c r="B30" s="16" t="s">
        <v>19</v>
      </c>
      <c r="C30" s="22">
        <f>24994</f>
        <v>24994</v>
      </c>
      <c r="D30" s="24">
        <f>38720</f>
        <v>38720</v>
      </c>
      <c r="E30" s="22">
        <f>38720</f>
        <v>38720</v>
      </c>
      <c r="F30" s="1">
        <f t="shared" si="0"/>
        <v>1.5491718012322957</v>
      </c>
      <c r="G30" s="1">
        <f t="shared" si="1"/>
        <v>1</v>
      </c>
      <c r="H30" s="22">
        <f>38720</f>
        <v>38720</v>
      </c>
      <c r="I30" s="1">
        <f t="shared" si="2"/>
        <v>1.5491718012322957</v>
      </c>
      <c r="J30" s="1">
        <f t="shared" si="3"/>
        <v>1</v>
      </c>
      <c r="K30" s="22">
        <f>38720</f>
        <v>38720</v>
      </c>
      <c r="L30" s="1">
        <f t="shared" si="4"/>
        <v>1.5491718012322957</v>
      </c>
      <c r="M30" s="1">
        <f t="shared" si="5"/>
        <v>1</v>
      </c>
    </row>
    <row r="31" spans="1:13" s="14" customFormat="1" ht="15">
      <c r="A31" s="12" t="s">
        <v>43</v>
      </c>
      <c r="B31" s="13" t="s">
        <v>20</v>
      </c>
      <c r="C31" s="21">
        <f>C32</f>
        <v>34789635.25</v>
      </c>
      <c r="D31" s="21">
        <f>D32</f>
        <v>26008556.88</v>
      </c>
      <c r="E31" s="21">
        <f>E32</f>
        <v>25410417.63</v>
      </c>
      <c r="F31" s="2">
        <f t="shared" si="0"/>
        <v>0.7304019558526414</v>
      </c>
      <c r="G31" s="2">
        <f t="shared" si="1"/>
        <v>0.9770022130501229</v>
      </c>
      <c r="H31" s="21">
        <f>H32</f>
        <v>19152981.43</v>
      </c>
      <c r="I31" s="2">
        <f t="shared" si="2"/>
        <v>0.5505370002406105</v>
      </c>
      <c r="J31" s="2">
        <f t="shared" si="3"/>
        <v>0.7364107712076949</v>
      </c>
      <c r="K31" s="21">
        <f>K32</f>
        <v>18767459.7</v>
      </c>
      <c r="L31" s="2">
        <f t="shared" si="4"/>
        <v>0.5394554891172652</v>
      </c>
      <c r="M31" s="2">
        <f t="shared" si="5"/>
        <v>0.7215878907311369</v>
      </c>
    </row>
    <row r="32" spans="1:13" ht="15" outlineLevel="1">
      <c r="A32" s="15" t="s">
        <v>44</v>
      </c>
      <c r="B32" s="16" t="s">
        <v>21</v>
      </c>
      <c r="C32" s="22">
        <f>34789635.25</f>
        <v>34789635.25</v>
      </c>
      <c r="D32" s="22">
        <f>26008556.88</f>
        <v>26008556.88</v>
      </c>
      <c r="E32" s="22">
        <f>25410417.63</f>
        <v>25410417.63</v>
      </c>
      <c r="F32" s="1">
        <f t="shared" si="0"/>
        <v>0.7304019558526414</v>
      </c>
      <c r="G32" s="1">
        <f t="shared" si="1"/>
        <v>0.9770022130501229</v>
      </c>
      <c r="H32" s="22">
        <f>19152981.43</f>
        <v>19152981.43</v>
      </c>
      <c r="I32" s="1">
        <f t="shared" si="2"/>
        <v>0.5505370002406105</v>
      </c>
      <c r="J32" s="1">
        <f t="shared" si="3"/>
        <v>0.7364107712076949</v>
      </c>
      <c r="K32" s="22">
        <f>18767459.7</f>
        <v>18767459.7</v>
      </c>
      <c r="L32" s="1">
        <f t="shared" si="4"/>
        <v>0.5394554891172652</v>
      </c>
      <c r="M32" s="1">
        <f t="shared" si="5"/>
        <v>0.7215878907311369</v>
      </c>
    </row>
    <row r="33" spans="1:13" s="14" customFormat="1" ht="15">
      <c r="A33" s="12" t="s">
        <v>45</v>
      </c>
      <c r="B33" s="13" t="s">
        <v>22</v>
      </c>
      <c r="C33" s="21">
        <f>SUM(C34:C35)</f>
        <v>1495330.86</v>
      </c>
      <c r="D33" s="21">
        <f>SUM(D34:D35)</f>
        <v>315661.1</v>
      </c>
      <c r="E33" s="21">
        <f>SUM(E34:E35)</f>
        <v>1776604.39</v>
      </c>
      <c r="F33" s="2">
        <f t="shared" si="0"/>
        <v>1.188101200559721</v>
      </c>
      <c r="G33" s="2">
        <f t="shared" si="1"/>
        <v>5.628201859525928</v>
      </c>
      <c r="H33" s="21">
        <f>SUM(H34:H35)</f>
        <v>1776604.39</v>
      </c>
      <c r="I33" s="2">
        <f t="shared" si="2"/>
        <v>1.188101200559721</v>
      </c>
      <c r="J33" s="2">
        <f t="shared" si="3"/>
        <v>5.628201859525928</v>
      </c>
      <c r="K33" s="21">
        <f>SUM(K34:K35)</f>
        <v>1776604.39</v>
      </c>
      <c r="L33" s="2">
        <f t="shared" si="4"/>
        <v>1.188101200559721</v>
      </c>
      <c r="M33" s="2">
        <f t="shared" si="5"/>
        <v>5.628201859525928</v>
      </c>
    </row>
    <row r="34" spans="1:13" ht="15" outlineLevel="1">
      <c r="A34" s="15" t="s">
        <v>46</v>
      </c>
      <c r="B34" s="16" t="s">
        <v>23</v>
      </c>
      <c r="C34" s="22">
        <f>213215.8</f>
        <v>213215.8</v>
      </c>
      <c r="D34" s="22">
        <f>248536.2</f>
        <v>248536.2</v>
      </c>
      <c r="E34" s="22">
        <f>248536.2</f>
        <v>248536.2</v>
      </c>
      <c r="F34" s="1">
        <f t="shared" si="0"/>
        <v>1.165655640904661</v>
      </c>
      <c r="G34" s="1">
        <f t="shared" si="1"/>
        <v>1</v>
      </c>
      <c r="H34" s="22">
        <f>248536.2</f>
        <v>248536.2</v>
      </c>
      <c r="I34" s="1">
        <f t="shared" si="2"/>
        <v>1.165655640904661</v>
      </c>
      <c r="J34" s="1">
        <f t="shared" si="3"/>
        <v>1</v>
      </c>
      <c r="K34" s="22">
        <f>248536.2</f>
        <v>248536.2</v>
      </c>
      <c r="L34" s="1">
        <f t="shared" si="4"/>
        <v>1.165655640904661</v>
      </c>
      <c r="M34" s="1">
        <f t="shared" si="5"/>
        <v>1</v>
      </c>
    </row>
    <row r="35" spans="1:13" ht="15" outlineLevel="1">
      <c r="A35" s="15" t="s">
        <v>47</v>
      </c>
      <c r="B35" s="16" t="s">
        <v>24</v>
      </c>
      <c r="C35" s="22">
        <f>1282115.06</f>
        <v>1282115.06</v>
      </c>
      <c r="D35" s="22">
        <f>67124.9</f>
        <v>67124.9</v>
      </c>
      <c r="E35" s="22">
        <f>1528068.19</f>
        <v>1528068.19</v>
      </c>
      <c r="F35" s="1">
        <f t="shared" si="0"/>
        <v>1.191833898277429</v>
      </c>
      <c r="G35" s="1">
        <f t="shared" si="1"/>
        <v>22.764550710690074</v>
      </c>
      <c r="H35" s="22">
        <f>1528068.19</f>
        <v>1528068.19</v>
      </c>
      <c r="I35" s="1">
        <f t="shared" si="2"/>
        <v>1.191833898277429</v>
      </c>
      <c r="J35" s="1">
        <f t="shared" si="3"/>
        <v>22.764550710690074</v>
      </c>
      <c r="K35" s="22">
        <f>1528068.19</f>
        <v>1528068.19</v>
      </c>
      <c r="L35" s="1">
        <f t="shared" si="4"/>
        <v>1.191833898277429</v>
      </c>
      <c r="M35" s="1">
        <f t="shared" si="5"/>
        <v>22.764550710690074</v>
      </c>
    </row>
    <row r="36" spans="1:13" s="14" customFormat="1" ht="15">
      <c r="A36" s="12" t="s">
        <v>48</v>
      </c>
      <c r="B36" s="13" t="s">
        <v>25</v>
      </c>
      <c r="C36" s="21">
        <f>C37</f>
        <v>46800</v>
      </c>
      <c r="D36" s="21">
        <f>D37</f>
        <v>77000</v>
      </c>
      <c r="E36" s="21">
        <f>E37</f>
        <v>77000</v>
      </c>
      <c r="F36" s="2">
        <f t="shared" si="0"/>
        <v>1.6452991452991452</v>
      </c>
      <c r="G36" s="2">
        <f t="shared" si="1"/>
        <v>1</v>
      </c>
      <c r="H36" s="21">
        <f>H37</f>
        <v>235840</v>
      </c>
      <c r="I36" s="2">
        <f t="shared" si="2"/>
        <v>5.039316239316239</v>
      </c>
      <c r="J36" s="2">
        <f t="shared" si="3"/>
        <v>3.0628571428571427</v>
      </c>
      <c r="K36" s="21">
        <f>K37</f>
        <v>182717.71</v>
      </c>
      <c r="L36" s="2">
        <f t="shared" si="4"/>
        <v>3.9042245726495723</v>
      </c>
      <c r="M36" s="2">
        <f t="shared" si="5"/>
        <v>2.3729572727272727</v>
      </c>
    </row>
    <row r="37" spans="1:13" ht="15" outlineLevel="1">
      <c r="A37" s="15" t="s">
        <v>49</v>
      </c>
      <c r="B37" s="16" t="s">
        <v>26</v>
      </c>
      <c r="C37" s="22">
        <f>46800</f>
        <v>46800</v>
      </c>
      <c r="D37" s="22">
        <v>77000</v>
      </c>
      <c r="E37" s="22">
        <f>77000</f>
        <v>77000</v>
      </c>
      <c r="F37" s="1">
        <f t="shared" si="0"/>
        <v>1.6452991452991452</v>
      </c>
      <c r="G37" s="1">
        <f t="shared" si="1"/>
        <v>1</v>
      </c>
      <c r="H37" s="22">
        <f>235840</f>
        <v>235840</v>
      </c>
      <c r="I37" s="1">
        <f t="shared" si="2"/>
        <v>5.039316239316239</v>
      </c>
      <c r="J37" s="1">
        <f t="shared" si="3"/>
        <v>3.0628571428571427</v>
      </c>
      <c r="K37" s="22">
        <f>182717.71</f>
        <v>182717.71</v>
      </c>
      <c r="L37" s="1">
        <f t="shared" si="4"/>
        <v>3.9042245726495723</v>
      </c>
      <c r="M37" s="1">
        <f t="shared" si="5"/>
        <v>2.3729572727272727</v>
      </c>
    </row>
    <row r="38" spans="1:13" s="14" customFormat="1" ht="26.25" customHeight="1">
      <c r="A38" s="12" t="s">
        <v>87</v>
      </c>
      <c r="B38" s="13" t="s">
        <v>27</v>
      </c>
      <c r="C38" s="21">
        <f>C39</f>
        <v>36279.18</v>
      </c>
      <c r="D38" s="21">
        <f>D39</f>
        <v>24759.48</v>
      </c>
      <c r="E38" s="21">
        <f>E39</f>
        <v>4501.62</v>
      </c>
      <c r="F38" s="2">
        <f t="shared" si="0"/>
        <v>0.12408273836398727</v>
      </c>
      <c r="G38" s="2">
        <f t="shared" si="1"/>
        <v>0.18181399609361748</v>
      </c>
      <c r="H38" s="21">
        <f>H39</f>
        <v>0</v>
      </c>
      <c r="I38" s="2">
        <f t="shared" si="2"/>
        <v>0</v>
      </c>
      <c r="J38" s="2">
        <f t="shared" si="3"/>
        <v>0</v>
      </c>
      <c r="K38" s="21">
        <f>K39</f>
        <v>0</v>
      </c>
      <c r="L38" s="2">
        <f t="shared" si="4"/>
        <v>0</v>
      </c>
      <c r="M38" s="2">
        <f t="shared" si="5"/>
        <v>0</v>
      </c>
    </row>
    <row r="39" spans="1:13" ht="25.5" outlineLevel="1">
      <c r="A39" s="15" t="s">
        <v>88</v>
      </c>
      <c r="B39" s="16" t="s">
        <v>28</v>
      </c>
      <c r="C39" s="22">
        <f>36279.18</f>
        <v>36279.18</v>
      </c>
      <c r="D39" s="22">
        <f>24759.48</f>
        <v>24759.48</v>
      </c>
      <c r="E39" s="22">
        <f>4501.62</f>
        <v>4501.62</v>
      </c>
      <c r="F39" s="1">
        <f t="shared" si="0"/>
        <v>0.12408273836398727</v>
      </c>
      <c r="G39" s="1">
        <f t="shared" si="1"/>
        <v>0.18181399609361748</v>
      </c>
      <c r="H39" s="22">
        <f>0</f>
        <v>0</v>
      </c>
      <c r="I39" s="1">
        <f t="shared" si="2"/>
        <v>0</v>
      </c>
      <c r="J39" s="1">
        <f t="shared" si="3"/>
        <v>0</v>
      </c>
      <c r="K39" s="22">
        <f>0</f>
        <v>0</v>
      </c>
      <c r="L39" s="1">
        <f t="shared" si="4"/>
        <v>0</v>
      </c>
      <c r="M39" s="1">
        <f t="shared" si="5"/>
        <v>0</v>
      </c>
    </row>
    <row r="40" spans="1:13" s="27" customFormat="1" ht="18.75" customHeight="1">
      <c r="A40" s="31" t="s">
        <v>64</v>
      </c>
      <c r="B40" s="31"/>
      <c r="C40" s="25">
        <f>C6+C14+C18+C23+C28+C31+C33+C36+C38</f>
        <v>206469586.89000002</v>
      </c>
      <c r="D40" s="25">
        <f>D6+D14+D18+D23+D28+D31+D33+D36+D38</f>
        <v>120090763.03999999</v>
      </c>
      <c r="E40" s="25">
        <f>E6+E14+E18+E23+E28+E31+E33+E36+E38</f>
        <v>85070514.31</v>
      </c>
      <c r="F40" s="26">
        <f>E40/C40</f>
        <v>0.41202443222460017</v>
      </c>
      <c r="G40" s="26">
        <f t="shared" si="1"/>
        <v>0.708385159328737</v>
      </c>
      <c r="H40" s="25">
        <f>H6+H14+H18+H23+H28+H31+H33+H36+H38</f>
        <v>69145137.75</v>
      </c>
      <c r="I40" s="26">
        <f>H40/C40</f>
        <v>0.3348926047245795</v>
      </c>
      <c r="J40" s="26">
        <f>H40/D40</f>
        <v>0.5757739896029226</v>
      </c>
      <c r="K40" s="25">
        <f>K6+K14+K18+K23+K28+K31+K33+K36+K38</f>
        <v>67372185.5</v>
      </c>
      <c r="L40" s="26">
        <f>K40/C40</f>
        <v>0.3263056148598467</v>
      </c>
      <c r="M40" s="26">
        <f>K40/D40</f>
        <v>0.5610105539720784</v>
      </c>
    </row>
    <row r="41" spans="1:13" ht="15">
      <c r="A41" s="32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18"/>
      <c r="M41" s="18"/>
    </row>
  </sheetData>
  <sheetProtection/>
  <mergeCells count="4">
    <mergeCell ref="A2:K2"/>
    <mergeCell ref="A40:B40"/>
    <mergeCell ref="A41:K41"/>
    <mergeCell ref="A1:M1"/>
  </mergeCells>
  <printOptions/>
  <pageMargins left="0.984251968503937" right="0.3937007874015748" top="0.7874015748031497" bottom="0.5905511811023623" header="0.3937007874015748" footer="0.511811023622047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Жирякова</cp:lastModifiedBy>
  <cp:lastPrinted>2019-10-28T05:37:11Z</cp:lastPrinted>
  <dcterms:created xsi:type="dcterms:W3CDTF">2018-10-31T12:49:20Z</dcterms:created>
  <dcterms:modified xsi:type="dcterms:W3CDTF">2021-11-09T08:49:17Z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