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<sst xmlns="http://schemas.openxmlformats.org/spreadsheetml/2006/main" count="88" uniqueCount="88">
  <si>
    <t>0100</t>
  </si>
  <si>
    <t>0102</t>
  </si>
  <si>
    <t>0103</t>
  </si>
  <si>
    <t>0105</t>
  </si>
  <si>
    <t>0107</t>
  </si>
  <si>
    <t>0111</t>
  </si>
  <si>
    <t>0113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</si>
  <si>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</si>
  <si>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</si>
  <si>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</si>
  <si>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</si>
  <si>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</si>
  <si>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</si>
  <si>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</si>
  <si>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</si>
  <si>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</si>
  <si>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</si>
  <si>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</si>
  <si>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</si>
  <si>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</si>
  <si>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</si>
  <si>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</si>
  <si>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</si>
  <si>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</si>
  <si>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</si>
  <si>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1102</t>
  </si>
  <si>
    <t>1300</t>
  </si>
  <si>
    <t>1301</t>
  </si>
  <si>
    <t>Раздел, подраздел</t>
  </si>
  <si>
    <t>0501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</si>
  <si>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</si>
  <si>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</si>
  <si>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</si>
  <si>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</si>
  <si>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</si>
  <si>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</si>
  <si>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</si>
  <si>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</si>
  <si>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</si>
  <si>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</si>
  <si>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</si>
  <si>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</si>
  <si>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</si>
  <si>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</si>
  <si>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</si>
  <si>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</si>
  <si>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</si>
  <si>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</si>
  <si>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</si>
  <si>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</si>
  <si>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</si>
  <si>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</si>
  <si>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</si>
  <si>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</si>
  <si>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</si>
  <si>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</si>
  <si>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</si>
  <si>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</si>
  <si>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</si>
  <si>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</si>
  <si>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</si>
  <si>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</si>
  <si>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ИТОГО:</t>
  </si>
  <si>
    <t>(руб.)</t>
  </si>
  <si>
    <t>0314</t>
  </si>
  <si>
    <t>Другие вопросы в области национальной безопасности и правоохранительной деятельности</t>
  </si>
  <si>
    <t>Водное хозяйство</t>
  </si>
  <si>
    <t>0406</t>
  </si>
  <si>
    <t>0705</t>
  </si>
  <si>
    <t>Профессиональная подготовка, переподготовка и повышение квалификации</t>
  </si>
  <si>
    <t>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</si>
  <si>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</si>
  <si>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</si>
  <si>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</si>
  <si>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</si>
  <si>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</si>
  <si>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 расходах бюджета Южского городского поселения по разделам и подразделам классификации расходов бюджетов на 2024 год и на плановый период 2025 и 2026 годов в сравнении с исполнением за 2022 год и ожидаемым исполнением за 2023 год</t>
  </si>
  <si>
    <t>Исполнено за 2022 год</t>
  </si>
  <si>
    <t>Ожидаемое исполнение за 2023 год</t>
  </si>
  <si>
    <t>Проект на 2024 год</t>
  </si>
  <si>
    <t>2024 год к исполнению за 2022 год</t>
  </si>
  <si>
    <t>2024 год к ожидаемому исполнению за 2023 год</t>
  </si>
  <si>
    <t xml:space="preserve">Проект на 2025 год </t>
  </si>
  <si>
    <t>2025 год к исполнению за 2022 год</t>
  </si>
  <si>
    <t>2025 год к ожидаемому исполнению за 2023 год</t>
  </si>
  <si>
    <t>Проект на 2026 год</t>
  </si>
  <si>
    <t>2026 год к исполнению за 2022 год</t>
  </si>
  <si>
    <t>2026 год к ожидаемому исполнению за 2023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</si>
</sst>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6" fillId="0" borderId="0" xfId="0" applyFont="1" applyFill="1" applyAlignment="1" applyProtection="1">
      <alignment/>
      <protection locked="0"/>
    </xf>
    <xf numFmtId="4" fontId="2" fillId="0" borderId="2" xfId="52" applyNumberFormat="1" applyFont="1" applyFill="1" applyAlignment="1" applyProtection="1">
      <alignment horizontal="right" vertical="top" shrinkToFit="1"/>
      <protection/>
    </xf>
    <xf numFmtId="0" fontId="26" fillId="0" borderId="0" xfId="0" applyFont="1" applyFill="1" applyAlignment="1" applyProtection="1">
      <alignment vertical="center"/>
      <protection locked="0"/>
    </xf>
    <xf numFmtId="0" fontId="2" fillId="0" borderId="2" xfId="5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39" applyFont="1" applyFill="1">
      <alignment horizontal="center"/>
      <protection/>
    </xf>
    <xf numFmtId="0" fontId="5" fillId="0" borderId="0" xfId="40" applyNumberFormat="1" applyFont="1" applyFill="1" applyAlignment="1" applyProtection="1">
      <alignment vertical="top"/>
      <protection/>
    </xf>
    <xf numFmtId="0" fontId="5" fillId="0" borderId="0" xfId="40" applyFont="1" applyFill="1" applyAlignment="1">
      <alignment/>
      <protection/>
    </xf>
    <xf numFmtId="0" fontId="2" fillId="0" borderId="0" xfId="40" applyFont="1" applyFill="1" applyAlignment="1">
      <alignment horizontal="right"/>
      <protection/>
    </xf>
    <xf numFmtId="0" fontId="6" fillId="0" borderId="2" xfId="42" applyNumberFormat="1" applyFont="1" applyFill="1" applyAlignment="1" applyProtection="1">
      <alignment horizontal="center" vertical="center" wrapText="1"/>
      <protection/>
    </xf>
    <xf numFmtId="0" fontId="6" fillId="0" borderId="2" xfId="42" applyNumberFormat="1" applyFont="1" applyFill="1" applyProtection="1">
      <alignment horizontal="center" vertical="center" wrapText="1"/>
      <protection/>
    </xf>
    <xf numFmtId="0" fontId="2" fillId="0" borderId="2" xfId="42" applyNumberFormat="1" applyFont="1" applyFill="1" applyAlignment="1" applyProtection="1">
      <alignment horizontal="center" vertical="top" wrapText="1"/>
      <protection/>
    </xf>
    <xf numFmtId="0" fontId="2" fillId="0" borderId="2" xfId="42" applyNumberFormat="1" applyFont="1" applyFill="1" applyProtection="1">
      <alignment horizontal="center" vertical="center" wrapText="1"/>
      <protection/>
    </xf>
    <xf numFmtId="0" fontId="6" fillId="0" borderId="2" xfId="50" applyNumberFormat="1" applyFont="1" applyFill="1" applyAlignment="1" applyProtection="1">
      <alignment vertical="top" wrapText="1"/>
      <protection/>
    </xf>
    <xf numFmtId="0" fontId="6" fillId="0" borderId="2" xfId="50" applyNumberFormat="1" applyFont="1" applyFill="1" applyAlignment="1" applyProtection="1">
      <alignment horizontal="center" vertical="top" wrapText="1"/>
      <protection/>
    </xf>
    <xf numFmtId="4" fontId="6" fillId="0" borderId="2" xfId="52" applyNumberFormat="1" applyFont="1" applyFill="1" applyAlignment="1" applyProtection="1">
      <alignment horizontal="right" vertical="top" shrinkToFit="1"/>
      <protection/>
    </xf>
    <xf numFmtId="165" fontId="6" fillId="0" borderId="2" xfId="83" applyNumberFormat="1" applyFont="1" applyFill="1" applyBorder="1" applyAlignment="1" applyProtection="1">
      <alignment horizontal="center" vertical="top" shrinkToFit="1"/>
      <protection/>
    </xf>
    <xf numFmtId="0" fontId="2" fillId="0" borderId="2" xfId="50" applyNumberFormat="1" applyFont="1" applyFill="1" applyAlignment="1" applyProtection="1">
      <alignment horizontal="center" vertical="top" wrapText="1"/>
      <protection/>
    </xf>
    <xf numFmtId="165" fontId="2" fillId="0" borderId="2" xfId="83" applyNumberFormat="1" applyFont="1" applyFill="1" applyBorder="1" applyAlignment="1" applyProtection="1">
      <alignment horizontal="center" vertical="top" shrinkToFit="1"/>
      <protection/>
    </xf>
    <xf numFmtId="49" fontId="2" fillId="0" borderId="2" xfId="50" applyNumberFormat="1" applyFont="1" applyFill="1" applyAlignment="1" applyProtection="1">
      <alignment horizontal="center" vertical="top" wrapText="1"/>
      <protection/>
    </xf>
    <xf numFmtId="4" fontId="2" fillId="0" borderId="2" xfId="51" applyNumberFormat="1" applyFont="1" applyFill="1" applyAlignment="1" applyProtection="1">
      <alignment horizontal="right" vertical="top" shrinkToFit="1"/>
      <protection/>
    </xf>
    <xf numFmtId="4" fontId="6" fillId="0" borderId="14" xfId="46" applyNumberFormat="1" applyFont="1" applyFill="1" applyBorder="1" applyAlignment="1" applyProtection="1">
      <alignment horizontal="right" vertical="center" shrinkToFit="1"/>
      <protection/>
    </xf>
    <xf numFmtId="165" fontId="6" fillId="0" borderId="2" xfId="83" applyNumberFormat="1" applyFont="1" applyFill="1" applyBorder="1" applyAlignment="1" applyProtection="1">
      <alignment horizontal="center" vertical="center" shrinkToFit="1"/>
      <protection/>
    </xf>
    <xf numFmtId="0" fontId="5" fillId="0" borderId="0" xfId="49" applyFont="1" applyFill="1">
      <alignment horizontal="left" wrapText="1"/>
      <protection/>
    </xf>
    <xf numFmtId="0" fontId="0" fillId="0" borderId="0" xfId="0" applyFont="1" applyFill="1" applyAlignment="1" applyProtection="1">
      <alignment vertical="top"/>
      <protection locked="0"/>
    </xf>
    <xf numFmtId="0" fontId="48" fillId="0" borderId="0" xfId="40" applyFont="1" applyFill="1" applyAlignment="1">
      <alignment horizontal="center"/>
      <protection/>
    </xf>
    <xf numFmtId="0" fontId="4" fillId="0" borderId="0" xfId="39" applyNumberFormat="1" applyFont="1" applyFill="1" applyProtection="1">
      <alignment horizontal="center"/>
      <protection/>
    </xf>
    <xf numFmtId="0" fontId="4" fillId="0" borderId="0" xfId="39" applyFont="1" applyFill="1">
      <alignment horizontal="center"/>
      <protection/>
    </xf>
    <xf numFmtId="0" fontId="6" fillId="0" borderId="14" xfId="45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Protection="1">
      <alignment horizontal="left" wrapText="1"/>
      <protection/>
    </xf>
    <xf numFmtId="0" fontId="5" fillId="0" borderId="0" xfId="49" applyFont="1" applyFill="1">
      <alignment horizontal="left" wrapText="1"/>
      <protection/>
    </xf>
    <xf numFmtId="0" fontId="3" fillId="0" borderId="0" xfId="39" applyNumberFormat="1" applyFont="1" applyFill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50.00390625" style="25" customWidth="1"/>
    <col min="2" max="2" width="9.140625" style="25" customWidth="1"/>
    <col min="3" max="3" width="15.8515625" style="5" customWidth="1"/>
    <col min="4" max="4" width="16.57421875" style="5" customWidth="1"/>
    <col min="5" max="6" width="13.7109375" style="5" customWidth="1"/>
    <col min="7" max="7" width="15.00390625" style="5" customWidth="1"/>
    <col min="8" max="13" width="13.140625" style="5" customWidth="1"/>
    <col min="14" max="16384" width="9.140625" style="5" customWidth="1"/>
  </cols>
  <sheetData>
    <row r="1" spans="1:13" ht="33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7.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6"/>
      <c r="M2" s="6"/>
    </row>
    <row r="3" spans="1:13" ht="12" customHeight="1">
      <c r="A3" s="7"/>
      <c r="B3" s="7"/>
      <c r="C3" s="8"/>
      <c r="D3" s="26"/>
      <c r="E3" s="8"/>
      <c r="F3" s="8"/>
      <c r="G3" s="8"/>
      <c r="H3" s="8"/>
      <c r="I3" s="8"/>
      <c r="J3" s="8"/>
      <c r="L3" s="8"/>
      <c r="M3" s="9" t="s">
        <v>63</v>
      </c>
    </row>
    <row r="4" spans="1:13" ht="53.25" customHeight="1">
      <c r="A4" s="10" t="s">
        <v>54</v>
      </c>
      <c r="B4" s="10" t="s">
        <v>28</v>
      </c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</row>
    <row r="5" spans="1:13" ht="14.25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 t="s">
        <v>48</v>
      </c>
      <c r="G5" s="13" t="s">
        <v>49</v>
      </c>
      <c r="H5" s="13">
        <v>8</v>
      </c>
      <c r="I5" s="13" t="s">
        <v>50</v>
      </c>
      <c r="J5" s="13" t="s">
        <v>51</v>
      </c>
      <c r="K5" s="13">
        <v>11</v>
      </c>
      <c r="L5" s="13" t="s">
        <v>52</v>
      </c>
      <c r="M5" s="13" t="s">
        <v>53</v>
      </c>
    </row>
    <row r="6" spans="1:13" s="1" customFormat="1" ht="15">
      <c r="A6" s="14" t="s">
        <v>56</v>
      </c>
      <c r="B6" s="15" t="s">
        <v>0</v>
      </c>
      <c r="C6" s="16">
        <f>SUM(C7:C13)</f>
        <v>8089305.24</v>
      </c>
      <c r="D6" s="16">
        <f>SUM(D7:D13)</f>
        <v>9062366.129999999</v>
      </c>
      <c r="E6" s="16">
        <f>SUM(E7:E13)</f>
        <v>8976084.68</v>
      </c>
      <c r="F6" s="17">
        <f>E6/C6</f>
        <v>1.1096236838257818</v>
      </c>
      <c r="G6" s="17">
        <f>E6/D6</f>
        <v>0.9904791476351442</v>
      </c>
      <c r="H6" s="16">
        <f>SUM(H7:H13)</f>
        <v>8896084.68</v>
      </c>
      <c r="I6" s="17">
        <f>H6/C6</f>
        <v>1.0997340829729896</v>
      </c>
      <c r="J6" s="17">
        <f>H6/D6</f>
        <v>0.9816514310264356</v>
      </c>
      <c r="K6" s="16">
        <f>SUM(K7:K13)</f>
        <v>8892484.68</v>
      </c>
      <c r="L6" s="17">
        <f>K6/C6</f>
        <v>1.099289050934614</v>
      </c>
      <c r="M6" s="17">
        <f>K6/D6</f>
        <v>0.9812541837790437</v>
      </c>
    </row>
    <row r="7" spans="1:13" ht="25.5" outlineLevel="1">
      <c r="A7" s="4" t="s">
        <v>55</v>
      </c>
      <c r="B7" s="18" t="s">
        <v>1</v>
      </c>
      <c r="C7" s="2">
        <f>900595.46</f>
        <v>900595.46</v>
      </c>
      <c r="D7" s="2">
        <f>1107752.18</f>
        <v>1107752.18</v>
      </c>
      <c r="E7" s="2">
        <f>1112441</f>
        <v>1112441</v>
      </c>
      <c r="F7" s="19">
        <f aca="true" t="shared" si="0" ref="F7:F38">E7/C7</f>
        <v>1.235228301062055</v>
      </c>
      <c r="G7" s="19">
        <f aca="true" t="shared" si="1" ref="G7:G39">E7/D7</f>
        <v>1.004232733714864</v>
      </c>
      <c r="H7" s="2">
        <f>1112441</f>
        <v>1112441</v>
      </c>
      <c r="I7" s="19">
        <f aca="true" t="shared" si="2" ref="I7:I38">H7/C7</f>
        <v>1.235228301062055</v>
      </c>
      <c r="J7" s="19">
        <f aca="true" t="shared" si="3" ref="J7:J36">H7/D7</f>
        <v>1.004232733714864</v>
      </c>
      <c r="K7" s="2">
        <f>1112441</f>
        <v>1112441</v>
      </c>
      <c r="L7" s="19">
        <f aca="true" t="shared" si="4" ref="L7:L38">K7/C7</f>
        <v>1.235228301062055</v>
      </c>
      <c r="M7" s="19">
        <f aca="true" t="shared" si="5" ref="M7:M36">K7/D7</f>
        <v>1.004232733714864</v>
      </c>
    </row>
    <row r="8" spans="1:13" ht="37.5" customHeight="1" outlineLevel="1">
      <c r="A8" s="4" t="s">
        <v>57</v>
      </c>
      <c r="B8" s="18" t="s">
        <v>2</v>
      </c>
      <c r="C8" s="2">
        <f>1942932.31</f>
        <v>1942932.31</v>
      </c>
      <c r="D8" s="2">
        <f>2063022.03</f>
        <v>2063022.03</v>
      </c>
      <c r="E8" s="2">
        <f>1983076.75</f>
        <v>1983076.75</v>
      </c>
      <c r="F8" s="19">
        <f t="shared" si="0"/>
        <v>1.020661780028765</v>
      </c>
      <c r="G8" s="19">
        <f t="shared" si="1"/>
        <v>0.9612484603472703</v>
      </c>
      <c r="H8" s="2">
        <f>1983076.75</f>
        <v>1983076.75</v>
      </c>
      <c r="I8" s="19">
        <f t="shared" si="2"/>
        <v>1.020661780028765</v>
      </c>
      <c r="J8" s="19">
        <f t="shared" si="3"/>
        <v>0.9612484603472703</v>
      </c>
      <c r="K8" s="2">
        <f>1983076.75</f>
        <v>1983076.75</v>
      </c>
      <c r="L8" s="19">
        <f t="shared" si="4"/>
        <v>1.020661780028765</v>
      </c>
      <c r="M8" s="19">
        <f t="shared" si="5"/>
        <v>0.9612484603472703</v>
      </c>
    </row>
    <row r="9" spans="1:13" ht="15" hidden="1" outlineLevel="1">
      <c r="A9" s="4" t="s">
        <v>58</v>
      </c>
      <c r="B9" s="18" t="s">
        <v>3</v>
      </c>
      <c r="C9" s="2"/>
      <c r="D9" s="2"/>
      <c r="E9" s="2"/>
      <c r="F9" s="19" t="e">
        <f t="shared" si="0"/>
        <v>#DIV/0!</v>
      </c>
      <c r="G9" s="19" t="e">
        <f t="shared" si="1"/>
        <v>#DIV/0!</v>
      </c>
      <c r="H9" s="2"/>
      <c r="I9" s="19" t="e">
        <f t="shared" si="2"/>
        <v>#DIV/0!</v>
      </c>
      <c r="J9" s="19" t="e">
        <f t="shared" si="3"/>
        <v>#DIV/0!</v>
      </c>
      <c r="K9" s="2"/>
      <c r="L9" s="19" t="e">
        <f t="shared" si="4"/>
        <v>#DIV/0!</v>
      </c>
      <c r="M9" s="19" t="e">
        <f t="shared" si="5"/>
        <v>#DIV/0!</v>
      </c>
    </row>
    <row r="10" spans="1:13" ht="39.75" customHeight="1" outlineLevel="1">
      <c r="A10" s="4" t="s">
        <v>72</v>
      </c>
      <c r="B10" s="20" t="s">
        <v>71</v>
      </c>
      <c r="C10" s="2">
        <f>3600</f>
        <v>3600</v>
      </c>
      <c r="D10" s="2">
        <f>3600</f>
        <v>3600</v>
      </c>
      <c r="E10" s="2">
        <f>3600</f>
        <v>3600</v>
      </c>
      <c r="F10" s="19"/>
      <c r="G10" s="19">
        <f t="shared" si="1"/>
        <v>1</v>
      </c>
      <c r="H10" s="2">
        <f>3600</f>
        <v>3600</v>
      </c>
      <c r="I10" s="19">
        <f t="shared" si="2"/>
        <v>1</v>
      </c>
      <c r="J10" s="19">
        <f t="shared" si="3"/>
        <v>1</v>
      </c>
      <c r="K10" s="2">
        <f>0</f>
        <v>0</v>
      </c>
      <c r="L10" s="19">
        <f t="shared" si="4"/>
        <v>0</v>
      </c>
      <c r="M10" s="19">
        <f t="shared" si="5"/>
        <v>0</v>
      </c>
    </row>
    <row r="11" spans="1:13" ht="15" hidden="1" outlineLevel="1">
      <c r="A11" s="4" t="s">
        <v>59</v>
      </c>
      <c r="B11" s="18" t="s">
        <v>4</v>
      </c>
      <c r="C11" s="2"/>
      <c r="D11" s="2"/>
      <c r="E11" s="2"/>
      <c r="F11" s="19">
        <f>0</f>
        <v>0</v>
      </c>
      <c r="G11" s="19">
        <f>0</f>
        <v>0</v>
      </c>
      <c r="H11" s="2"/>
      <c r="I11" s="19" t="e">
        <f t="shared" si="2"/>
        <v>#DIV/0!</v>
      </c>
      <c r="J11" s="19">
        <f>0</f>
        <v>0</v>
      </c>
      <c r="K11" s="2"/>
      <c r="L11" s="19" t="e">
        <f t="shared" si="4"/>
        <v>#DIV/0!</v>
      </c>
      <c r="M11" s="19" t="e">
        <f t="shared" si="5"/>
        <v>#DIV/0!</v>
      </c>
    </row>
    <row r="12" spans="1:13" ht="15" outlineLevel="1">
      <c r="A12" s="4" t="s">
        <v>60</v>
      </c>
      <c r="B12" s="18" t="s">
        <v>5</v>
      </c>
      <c r="C12" s="2">
        <f>0</f>
        <v>0</v>
      </c>
      <c r="D12" s="2">
        <f>0</f>
        <v>0</v>
      </c>
      <c r="E12" s="2">
        <f>300000</f>
        <v>300000</v>
      </c>
      <c r="F12" s="19">
        <f>0</f>
        <v>0</v>
      </c>
      <c r="G12" s="19">
        <f>0</f>
        <v>0</v>
      </c>
      <c r="H12" s="2">
        <f>300000</f>
        <v>300000</v>
      </c>
      <c r="I12" s="19" t="e">
        <f t="shared" si="2"/>
        <v>#DIV/0!</v>
      </c>
      <c r="J12" s="19">
        <f>0</f>
        <v>0</v>
      </c>
      <c r="K12" s="2">
        <f>300000</f>
        <v>300000</v>
      </c>
      <c r="L12" s="19" t="e">
        <f t="shared" si="4"/>
        <v>#DIV/0!</v>
      </c>
      <c r="M12" s="19" t="e">
        <f t="shared" si="5"/>
        <v>#DIV/0!</v>
      </c>
    </row>
    <row r="13" spans="1:13" ht="15" outlineLevel="1">
      <c r="A13" s="4" t="s">
        <v>61</v>
      </c>
      <c r="B13" s="18" t="s">
        <v>6</v>
      </c>
      <c r="C13" s="2">
        <f>5242177.47</f>
        <v>5242177.47</v>
      </c>
      <c r="D13" s="2">
        <f>5887991.92</f>
        <v>5887991.92</v>
      </c>
      <c r="E13" s="2">
        <f>5576966.93</f>
        <v>5576966.93</v>
      </c>
      <c r="F13" s="19">
        <f t="shared" si="0"/>
        <v>1.0638645795408372</v>
      </c>
      <c r="G13" s="19">
        <f t="shared" si="1"/>
        <v>0.947176389807274</v>
      </c>
      <c r="H13" s="2">
        <f>5496966.93</f>
        <v>5496966.93</v>
      </c>
      <c r="I13" s="19">
        <f t="shared" si="2"/>
        <v>1.0486037455729251</v>
      </c>
      <c r="J13" s="19">
        <f t="shared" si="3"/>
        <v>0.9335894146403652</v>
      </c>
      <c r="K13" s="2">
        <f>5496966.93</f>
        <v>5496966.93</v>
      </c>
      <c r="L13" s="19">
        <f t="shared" si="4"/>
        <v>1.0486037455729251</v>
      </c>
      <c r="M13" s="19">
        <f t="shared" si="5"/>
        <v>0.9335894146403652</v>
      </c>
    </row>
    <row r="14" spans="1:13" s="1" customFormat="1" ht="25.5">
      <c r="A14" s="14" t="s">
        <v>30</v>
      </c>
      <c r="B14" s="15" t="s">
        <v>7</v>
      </c>
      <c r="C14" s="16">
        <f>SUM(C15:C17)</f>
        <v>454564.05</v>
      </c>
      <c r="D14" s="16">
        <f>SUM(D15:D17)</f>
        <v>844500</v>
      </c>
      <c r="E14" s="16">
        <f>SUM(E15:E17)</f>
        <v>523500</v>
      </c>
      <c r="F14" s="17">
        <f t="shared" si="0"/>
        <v>1.1516528858804387</v>
      </c>
      <c r="G14" s="17">
        <f t="shared" si="1"/>
        <v>0.6198934280639432</v>
      </c>
      <c r="H14" s="16">
        <f>SUM(H15:H17)</f>
        <v>473500</v>
      </c>
      <c r="I14" s="17">
        <f t="shared" si="2"/>
        <v>1.0416573857963471</v>
      </c>
      <c r="J14" s="17">
        <f t="shared" si="3"/>
        <v>0.5606867969212552</v>
      </c>
      <c r="K14" s="16">
        <f>SUM(K15:K17)</f>
        <v>473500</v>
      </c>
      <c r="L14" s="17">
        <f t="shared" si="4"/>
        <v>1.0416573857963471</v>
      </c>
      <c r="M14" s="17">
        <f t="shared" si="5"/>
        <v>0.5606867969212552</v>
      </c>
    </row>
    <row r="15" spans="1:13" ht="16.5" customHeight="1" outlineLevel="1">
      <c r="A15" s="4" t="s">
        <v>70</v>
      </c>
      <c r="B15" s="18" t="s">
        <v>8</v>
      </c>
      <c r="C15" s="2">
        <f>12000</f>
        <v>12000</v>
      </c>
      <c r="D15" s="2">
        <f>83000</f>
        <v>83000</v>
      </c>
      <c r="E15" s="2">
        <f>12000</f>
        <v>12000</v>
      </c>
      <c r="F15" s="19">
        <f t="shared" si="0"/>
        <v>1</v>
      </c>
      <c r="G15" s="19">
        <f t="shared" si="1"/>
        <v>0.14457831325301204</v>
      </c>
      <c r="H15" s="2">
        <f>12000</f>
        <v>12000</v>
      </c>
      <c r="I15" s="19">
        <f t="shared" si="2"/>
        <v>1</v>
      </c>
      <c r="J15" s="19">
        <f t="shared" si="3"/>
        <v>0.14457831325301204</v>
      </c>
      <c r="K15" s="2">
        <f>12000</f>
        <v>12000</v>
      </c>
      <c r="L15" s="19">
        <f t="shared" si="4"/>
        <v>1</v>
      </c>
      <c r="M15" s="19">
        <f t="shared" si="5"/>
        <v>0.14457831325301204</v>
      </c>
    </row>
    <row r="16" spans="1:13" ht="40.5" customHeight="1" outlineLevel="1">
      <c r="A16" s="4" t="s">
        <v>75</v>
      </c>
      <c r="B16" s="18" t="s">
        <v>9</v>
      </c>
      <c r="C16" s="2">
        <f>260060</f>
        <v>260060</v>
      </c>
      <c r="D16" s="2">
        <f>561500</f>
        <v>561500</v>
      </c>
      <c r="E16" s="2">
        <f>311500</f>
        <v>311500</v>
      </c>
      <c r="F16" s="19">
        <f t="shared" si="0"/>
        <v>1.197800507575175</v>
      </c>
      <c r="G16" s="19">
        <f t="shared" si="1"/>
        <v>0.5547640249332146</v>
      </c>
      <c r="H16" s="2">
        <f>261500</f>
        <v>261500</v>
      </c>
      <c r="I16" s="19">
        <f t="shared" si="2"/>
        <v>1.0055371837268323</v>
      </c>
      <c r="J16" s="19">
        <f t="shared" si="3"/>
        <v>0.4657168299198575</v>
      </c>
      <c r="K16" s="2">
        <f>261500</f>
        <v>261500</v>
      </c>
      <c r="L16" s="19">
        <f t="shared" si="4"/>
        <v>1.0055371837268323</v>
      </c>
      <c r="M16" s="19">
        <f t="shared" si="5"/>
        <v>0.4657168299198575</v>
      </c>
    </row>
    <row r="17" spans="1:13" ht="25.5" outlineLevel="1">
      <c r="A17" s="4" t="s">
        <v>65</v>
      </c>
      <c r="B17" s="20" t="s">
        <v>64</v>
      </c>
      <c r="C17" s="2">
        <f>182504.05</f>
        <v>182504.05</v>
      </c>
      <c r="D17" s="2">
        <f>200000</f>
        <v>200000</v>
      </c>
      <c r="E17" s="2">
        <f>200000</f>
        <v>200000</v>
      </c>
      <c r="F17" s="19">
        <f t="shared" si="0"/>
        <v>1.0958660917387861</v>
      </c>
      <c r="G17" s="19">
        <f t="shared" si="1"/>
        <v>1</v>
      </c>
      <c r="H17" s="2">
        <f>200000</f>
        <v>200000</v>
      </c>
      <c r="I17" s="19">
        <f t="shared" si="2"/>
        <v>1.0958660917387861</v>
      </c>
      <c r="J17" s="19">
        <f t="shared" si="3"/>
        <v>1</v>
      </c>
      <c r="K17" s="2">
        <f>200000</f>
        <v>200000</v>
      </c>
      <c r="L17" s="19">
        <f t="shared" si="4"/>
        <v>1.0958660917387861</v>
      </c>
      <c r="M17" s="19">
        <f t="shared" si="5"/>
        <v>1</v>
      </c>
    </row>
    <row r="18" spans="1:13" s="1" customFormat="1" ht="15">
      <c r="A18" s="14" t="s">
        <v>31</v>
      </c>
      <c r="B18" s="15" t="s">
        <v>10</v>
      </c>
      <c r="C18" s="16">
        <f>SUM(C19:C22)</f>
        <v>59989055.63</v>
      </c>
      <c r="D18" s="16">
        <f>SUM(D19:D22)</f>
        <v>47593264.25</v>
      </c>
      <c r="E18" s="16">
        <f>SUM(E19:E22)</f>
        <v>43894678.730000004</v>
      </c>
      <c r="F18" s="17">
        <f t="shared" si="0"/>
        <v>0.7317114475135804</v>
      </c>
      <c r="G18" s="17">
        <f t="shared" si="1"/>
        <v>0.9222876266571693</v>
      </c>
      <c r="H18" s="16">
        <f>SUM(H19:H22)</f>
        <v>45047214.39</v>
      </c>
      <c r="I18" s="17">
        <f t="shared" si="2"/>
        <v>0.7509238796463448</v>
      </c>
      <c r="J18" s="17">
        <f t="shared" si="3"/>
        <v>0.9465039874839012</v>
      </c>
      <c r="K18" s="16">
        <f>SUM(K19:K22)</f>
        <v>51182480.94</v>
      </c>
      <c r="L18" s="17">
        <f t="shared" si="4"/>
        <v>0.8531969773900572</v>
      </c>
      <c r="M18" s="17">
        <f t="shared" si="5"/>
        <v>1.075414383664596</v>
      </c>
    </row>
    <row r="19" spans="1:13" ht="15">
      <c r="A19" s="4" t="s">
        <v>66</v>
      </c>
      <c r="B19" s="20" t="s">
        <v>67</v>
      </c>
      <c r="C19" s="2">
        <f>270843.14</f>
        <v>270843.14</v>
      </c>
      <c r="D19" s="2">
        <f>340000</f>
        <v>340000</v>
      </c>
      <c r="E19" s="2">
        <f>340000</f>
        <v>340000</v>
      </c>
      <c r="F19" s="19">
        <f t="shared" si="0"/>
        <v>1.2553391605192585</v>
      </c>
      <c r="G19" s="19">
        <f t="shared" si="1"/>
        <v>1</v>
      </c>
      <c r="H19" s="2">
        <f>340000</f>
        <v>340000</v>
      </c>
      <c r="I19" s="19">
        <f t="shared" si="2"/>
        <v>1.2553391605192585</v>
      </c>
      <c r="J19" s="19">
        <f t="shared" si="3"/>
        <v>1</v>
      </c>
      <c r="K19" s="2">
        <f>340000</f>
        <v>340000</v>
      </c>
      <c r="L19" s="19">
        <f t="shared" si="4"/>
        <v>1.2553391605192585</v>
      </c>
      <c r="M19" s="19">
        <f t="shared" si="5"/>
        <v>1</v>
      </c>
    </row>
    <row r="20" spans="1:13" ht="15" outlineLevel="1">
      <c r="A20" s="4" t="s">
        <v>32</v>
      </c>
      <c r="B20" s="18" t="s">
        <v>11</v>
      </c>
      <c r="C20" s="2">
        <f>3440293.13</f>
        <v>3440293.13</v>
      </c>
      <c r="D20" s="2">
        <f>3894222.28</f>
        <v>3894222.28</v>
      </c>
      <c r="E20" s="2">
        <f>3860422.67</f>
        <v>3860422.67</v>
      </c>
      <c r="F20" s="19">
        <f t="shared" si="0"/>
        <v>1.122120274094202</v>
      </c>
      <c r="G20" s="19">
        <f t="shared" si="1"/>
        <v>0.9913205750545909</v>
      </c>
      <c r="H20" s="2">
        <f>3514208.08</f>
        <v>3514208.08</v>
      </c>
      <c r="I20" s="19">
        <f t="shared" si="2"/>
        <v>1.0214850732792065</v>
      </c>
      <c r="J20" s="19">
        <f t="shared" si="3"/>
        <v>0.9024158939381345</v>
      </c>
      <c r="K20" s="2">
        <f>3514208.08</f>
        <v>3514208.08</v>
      </c>
      <c r="L20" s="19">
        <f t="shared" si="4"/>
        <v>1.0214850732792065</v>
      </c>
      <c r="M20" s="19">
        <f t="shared" si="5"/>
        <v>0.9024158939381345</v>
      </c>
    </row>
    <row r="21" spans="1:13" ht="15" outlineLevel="1">
      <c r="A21" s="4" t="s">
        <v>33</v>
      </c>
      <c r="B21" s="18" t="s">
        <v>12</v>
      </c>
      <c r="C21" s="2">
        <f>56220919.36</f>
        <v>56220919.36</v>
      </c>
      <c r="D21" s="2">
        <f>43219041.97</f>
        <v>43219041.97</v>
      </c>
      <c r="E21" s="2">
        <f>39634256.06</f>
        <v>39634256.06</v>
      </c>
      <c r="F21" s="19">
        <f t="shared" si="0"/>
        <v>0.7049734602561292</v>
      </c>
      <c r="G21" s="19">
        <f t="shared" si="1"/>
        <v>0.9170554055203645</v>
      </c>
      <c r="H21" s="2">
        <f>41133006.31</f>
        <v>41133006.31</v>
      </c>
      <c r="I21" s="19">
        <f t="shared" si="2"/>
        <v>0.7316316911613023</v>
      </c>
      <c r="J21" s="19">
        <f t="shared" si="3"/>
        <v>0.9517334127524624</v>
      </c>
      <c r="K21" s="2">
        <f>47268272.86</f>
        <v>47268272.86</v>
      </c>
      <c r="L21" s="19">
        <f t="shared" si="4"/>
        <v>0.8407595143958172</v>
      </c>
      <c r="M21" s="19">
        <f t="shared" si="5"/>
        <v>1.0936908988591354</v>
      </c>
    </row>
    <row r="22" spans="1:13" ht="15" outlineLevel="1">
      <c r="A22" s="4" t="s">
        <v>34</v>
      </c>
      <c r="B22" s="18" t="s">
        <v>13</v>
      </c>
      <c r="C22" s="2">
        <f>57000</f>
        <v>57000</v>
      </c>
      <c r="D22" s="2">
        <f>140000</f>
        <v>140000</v>
      </c>
      <c r="E22" s="2">
        <f>60000</f>
        <v>60000</v>
      </c>
      <c r="F22" s="19">
        <f t="shared" si="0"/>
        <v>1.0526315789473684</v>
      </c>
      <c r="G22" s="19">
        <f t="shared" si="1"/>
        <v>0.42857142857142855</v>
      </c>
      <c r="H22" s="2">
        <f>60000</f>
        <v>60000</v>
      </c>
      <c r="I22" s="19">
        <f t="shared" si="2"/>
        <v>1.0526315789473684</v>
      </c>
      <c r="J22" s="19">
        <f t="shared" si="3"/>
        <v>0.42857142857142855</v>
      </c>
      <c r="K22" s="2">
        <f>60000</f>
        <v>60000</v>
      </c>
      <c r="L22" s="19">
        <f t="shared" si="4"/>
        <v>1.0526315789473684</v>
      </c>
      <c r="M22" s="19">
        <f t="shared" si="5"/>
        <v>0.42857142857142855</v>
      </c>
    </row>
    <row r="23" spans="1:13" s="1" customFormat="1" ht="15">
      <c r="A23" s="14" t="s">
        <v>35</v>
      </c>
      <c r="B23" s="15" t="s">
        <v>14</v>
      </c>
      <c r="C23" s="16">
        <f>SUM(C24:C26)</f>
        <v>37387870.05</v>
      </c>
      <c r="D23" s="16">
        <f>SUM(D24:D26)</f>
        <v>41067304.99</v>
      </c>
      <c r="E23" s="16">
        <f>SUM(E24:E26)</f>
        <v>39654334.83</v>
      </c>
      <c r="F23" s="17">
        <f t="shared" si="0"/>
        <v>1.0606203235693552</v>
      </c>
      <c r="G23" s="17">
        <f t="shared" si="1"/>
        <v>0.9655937938867899</v>
      </c>
      <c r="H23" s="16">
        <f>SUM(H24:H26)</f>
        <v>24467079.38</v>
      </c>
      <c r="I23" s="17">
        <f t="shared" si="2"/>
        <v>0.6544122290806988</v>
      </c>
      <c r="J23" s="17">
        <f t="shared" si="3"/>
        <v>0.5957800100580692</v>
      </c>
      <c r="K23" s="16">
        <f>SUM(K24:K26)</f>
        <v>24467079.32</v>
      </c>
      <c r="L23" s="17">
        <f t="shared" si="4"/>
        <v>0.6544122274759003</v>
      </c>
      <c r="M23" s="17">
        <f t="shared" si="5"/>
        <v>0.595780008597053</v>
      </c>
    </row>
    <row r="24" spans="1:13" ht="15">
      <c r="A24" s="4" t="s">
        <v>36</v>
      </c>
      <c r="B24" s="20" t="s">
        <v>29</v>
      </c>
      <c r="C24" s="2">
        <f>1067516.91</f>
        <v>1067516.91</v>
      </c>
      <c r="D24" s="2">
        <f>1778558.45</f>
        <v>1778558.45</v>
      </c>
      <c r="E24" s="2">
        <f>1417179.2</f>
        <v>1417179.2</v>
      </c>
      <c r="F24" s="19">
        <f t="shared" si="0"/>
        <v>1.3275473078922937</v>
      </c>
      <c r="G24" s="19">
        <f t="shared" si="1"/>
        <v>0.7968133968270764</v>
      </c>
      <c r="H24" s="2">
        <f>1717179.2</f>
        <v>1717179.2</v>
      </c>
      <c r="I24" s="19">
        <f t="shared" si="2"/>
        <v>1.6085733011948262</v>
      </c>
      <c r="J24" s="19">
        <f t="shared" si="3"/>
        <v>0.9654893264823543</v>
      </c>
      <c r="K24" s="2">
        <f>1717179.2</f>
        <v>1717179.2</v>
      </c>
      <c r="L24" s="19">
        <f t="shared" si="4"/>
        <v>1.6085733011948262</v>
      </c>
      <c r="M24" s="19">
        <f t="shared" si="5"/>
        <v>0.9654893264823543</v>
      </c>
    </row>
    <row r="25" spans="1:13" ht="15" outlineLevel="1">
      <c r="A25" s="4" t="s">
        <v>37</v>
      </c>
      <c r="B25" s="20" t="s">
        <v>15</v>
      </c>
      <c r="C25" s="2">
        <f>12408055.43</f>
        <v>12408055.43</v>
      </c>
      <c r="D25" s="2">
        <f>10160450.17</f>
        <v>10160450.17</v>
      </c>
      <c r="E25" s="2">
        <f>11309027.46</f>
        <v>11309027.46</v>
      </c>
      <c r="F25" s="19">
        <f t="shared" si="0"/>
        <v>0.9114262523890097</v>
      </c>
      <c r="G25" s="19">
        <f t="shared" si="1"/>
        <v>1.1130439371073655</v>
      </c>
      <c r="H25" s="2">
        <f>2903572</f>
        <v>2903572</v>
      </c>
      <c r="I25" s="19">
        <f t="shared" si="2"/>
        <v>0.23400701394190984</v>
      </c>
      <c r="J25" s="19">
        <f t="shared" si="3"/>
        <v>0.2857719836639876</v>
      </c>
      <c r="K25" s="2">
        <f>2903572</f>
        <v>2903572</v>
      </c>
      <c r="L25" s="19">
        <f t="shared" si="4"/>
        <v>0.23400701394190984</v>
      </c>
      <c r="M25" s="19">
        <f t="shared" si="5"/>
        <v>0.2857719836639876</v>
      </c>
    </row>
    <row r="26" spans="1:13" ht="15" outlineLevel="1">
      <c r="A26" s="4" t="s">
        <v>38</v>
      </c>
      <c r="B26" s="20" t="s">
        <v>16</v>
      </c>
      <c r="C26" s="2">
        <f>23912297.71</f>
        <v>23912297.71</v>
      </c>
      <c r="D26" s="2">
        <f>29128296.37</f>
        <v>29128296.37</v>
      </c>
      <c r="E26" s="2">
        <f>26928128.17</f>
        <v>26928128.17</v>
      </c>
      <c r="F26" s="19">
        <f t="shared" si="0"/>
        <v>1.1261204797872182</v>
      </c>
      <c r="G26" s="19">
        <f t="shared" si="1"/>
        <v>0.9244662931174371</v>
      </c>
      <c r="H26" s="2">
        <f>19846328.18</f>
        <v>19846328.18</v>
      </c>
      <c r="I26" s="19">
        <f t="shared" si="2"/>
        <v>0.8299632440466131</v>
      </c>
      <c r="J26" s="19">
        <f t="shared" si="3"/>
        <v>0.6813418789723746</v>
      </c>
      <c r="K26" s="2">
        <f>19846328.12</f>
        <v>19846328.12</v>
      </c>
      <c r="L26" s="19">
        <f t="shared" si="4"/>
        <v>0.829963241537444</v>
      </c>
      <c r="M26" s="19">
        <f t="shared" si="5"/>
        <v>0.681341876912522</v>
      </c>
    </row>
    <row r="27" spans="1:13" s="1" customFormat="1" ht="15">
      <c r="A27" s="14" t="s">
        <v>39</v>
      </c>
      <c r="B27" s="15" t="s">
        <v>17</v>
      </c>
      <c r="C27" s="16">
        <f>SUM(C28:C29)</f>
        <v>114850</v>
      </c>
      <c r="D27" s="16">
        <f>SUM(D28:D29)</f>
        <v>79320</v>
      </c>
      <c r="E27" s="16">
        <f>SUM(E28:E29)</f>
        <v>38720</v>
      </c>
      <c r="F27" s="17">
        <f t="shared" si="0"/>
        <v>0.3371353939921637</v>
      </c>
      <c r="G27" s="17">
        <f t="shared" si="1"/>
        <v>0.4881492687846697</v>
      </c>
      <c r="H27" s="16">
        <f>SUM(H28:H29)</f>
        <v>38720</v>
      </c>
      <c r="I27" s="17">
        <f t="shared" si="2"/>
        <v>0.3371353939921637</v>
      </c>
      <c r="J27" s="17">
        <f t="shared" si="3"/>
        <v>0.4881492687846697</v>
      </c>
      <c r="K27" s="16">
        <f>SUM(K28:K29)</f>
        <v>38720</v>
      </c>
      <c r="L27" s="17">
        <f t="shared" si="4"/>
        <v>0.3371353939921637</v>
      </c>
      <c r="M27" s="17">
        <f t="shared" si="5"/>
        <v>0.4881492687846697</v>
      </c>
    </row>
    <row r="28" spans="1:13" ht="25.5">
      <c r="A28" s="4" t="s">
        <v>69</v>
      </c>
      <c r="B28" s="20" t="s">
        <v>68</v>
      </c>
      <c r="C28" s="2">
        <f>800</f>
        <v>800</v>
      </c>
      <c r="D28" s="2">
        <f>0</f>
        <v>0</v>
      </c>
      <c r="E28" s="2">
        <f>0</f>
        <v>0</v>
      </c>
      <c r="F28" s="19">
        <f t="shared" si="0"/>
        <v>0</v>
      </c>
      <c r="G28" s="19" t="e">
        <f t="shared" si="1"/>
        <v>#DIV/0!</v>
      </c>
      <c r="H28" s="2">
        <f>0</f>
        <v>0</v>
      </c>
      <c r="I28" s="19">
        <f t="shared" si="2"/>
        <v>0</v>
      </c>
      <c r="J28" s="19" t="e">
        <f t="shared" si="3"/>
        <v>#DIV/0!</v>
      </c>
      <c r="K28" s="2">
        <f>0</f>
        <v>0</v>
      </c>
      <c r="L28" s="19">
        <f t="shared" si="4"/>
        <v>0</v>
      </c>
      <c r="M28" s="19" t="e">
        <f t="shared" si="5"/>
        <v>#DIV/0!</v>
      </c>
    </row>
    <row r="29" spans="1:13" ht="15" outlineLevel="1">
      <c r="A29" s="4" t="s">
        <v>40</v>
      </c>
      <c r="B29" s="18" t="s">
        <v>18</v>
      </c>
      <c r="C29" s="2">
        <f>114050</f>
        <v>114050</v>
      </c>
      <c r="D29" s="21">
        <f>79320</f>
        <v>79320</v>
      </c>
      <c r="E29" s="2">
        <f>38720</f>
        <v>38720</v>
      </c>
      <c r="F29" s="19">
        <f t="shared" si="0"/>
        <v>0.3395002192021043</v>
      </c>
      <c r="G29" s="19">
        <f t="shared" si="1"/>
        <v>0.4881492687846697</v>
      </c>
      <c r="H29" s="2">
        <f>38720</f>
        <v>38720</v>
      </c>
      <c r="I29" s="19">
        <f t="shared" si="2"/>
        <v>0.3395002192021043</v>
      </c>
      <c r="J29" s="19">
        <f t="shared" si="3"/>
        <v>0.4881492687846697</v>
      </c>
      <c r="K29" s="2">
        <f>38720</f>
        <v>38720</v>
      </c>
      <c r="L29" s="19">
        <f t="shared" si="4"/>
        <v>0.3395002192021043</v>
      </c>
      <c r="M29" s="19">
        <f t="shared" si="5"/>
        <v>0.4881492687846697</v>
      </c>
    </row>
    <row r="30" spans="1:13" s="1" customFormat="1" ht="15">
      <c r="A30" s="14" t="s">
        <v>41</v>
      </c>
      <c r="B30" s="15" t="s">
        <v>19</v>
      </c>
      <c r="C30" s="16">
        <f>C31</f>
        <v>42570930.18</v>
      </c>
      <c r="D30" s="16">
        <f>D31</f>
        <v>29817628.98</v>
      </c>
      <c r="E30" s="16">
        <f>E31</f>
        <v>21661359.18</v>
      </c>
      <c r="F30" s="17">
        <f t="shared" si="0"/>
        <v>0.5088298303187323</v>
      </c>
      <c r="G30" s="17">
        <f t="shared" si="1"/>
        <v>0.7264614900979963</v>
      </c>
      <c r="H30" s="16">
        <f>H31</f>
        <v>21643959.18</v>
      </c>
      <c r="I30" s="17">
        <f t="shared" si="2"/>
        <v>0.5084211007014459</v>
      </c>
      <c r="J30" s="17">
        <f t="shared" si="3"/>
        <v>0.7258779426934837</v>
      </c>
      <c r="K30" s="16">
        <f>K31</f>
        <v>21343959.18</v>
      </c>
      <c r="L30" s="17">
        <f t="shared" si="4"/>
        <v>0.5013740383344379</v>
      </c>
      <c r="M30" s="17">
        <f t="shared" si="5"/>
        <v>0.7158167805467139</v>
      </c>
    </row>
    <row r="31" spans="1:13" ht="15" outlineLevel="1">
      <c r="A31" s="4" t="s">
        <v>42</v>
      </c>
      <c r="B31" s="18" t="s">
        <v>20</v>
      </c>
      <c r="C31" s="2">
        <f>42570930.18</f>
        <v>42570930.18</v>
      </c>
      <c r="D31" s="2">
        <f>29817628.98</f>
        <v>29817628.98</v>
      </c>
      <c r="E31" s="2">
        <f>21661359.18</f>
        <v>21661359.18</v>
      </c>
      <c r="F31" s="19">
        <f t="shared" si="0"/>
        <v>0.5088298303187323</v>
      </c>
      <c r="G31" s="19">
        <f t="shared" si="1"/>
        <v>0.7264614900979963</v>
      </c>
      <c r="H31" s="2">
        <f>21643959.18</f>
        <v>21643959.18</v>
      </c>
      <c r="I31" s="19">
        <f t="shared" si="2"/>
        <v>0.5084211007014459</v>
      </c>
      <c r="J31" s="19">
        <f t="shared" si="3"/>
        <v>0.7258779426934837</v>
      </c>
      <c r="K31" s="2">
        <f>21343959.18</f>
        <v>21343959.18</v>
      </c>
      <c r="L31" s="19">
        <f t="shared" si="4"/>
        <v>0.5013740383344379</v>
      </c>
      <c r="M31" s="19">
        <f t="shared" si="5"/>
        <v>0.7158167805467139</v>
      </c>
    </row>
    <row r="32" spans="1:13" s="1" customFormat="1" ht="15">
      <c r="A32" s="14" t="s">
        <v>43</v>
      </c>
      <c r="B32" s="15" t="s">
        <v>21</v>
      </c>
      <c r="C32" s="16">
        <f>SUM(C33:C34)</f>
        <v>277099.35</v>
      </c>
      <c r="D32" s="16">
        <f>SUM(D33:D34)</f>
        <v>256609.8</v>
      </c>
      <c r="E32" s="16">
        <f>SUM(E33:E34)</f>
        <v>1784677.99</v>
      </c>
      <c r="F32" s="17">
        <f t="shared" si="0"/>
        <v>6.440570827755461</v>
      </c>
      <c r="G32" s="17">
        <f t="shared" si="1"/>
        <v>6.954831771818536</v>
      </c>
      <c r="H32" s="16">
        <f>SUM(H33:H34)</f>
        <v>1784677.99</v>
      </c>
      <c r="I32" s="17">
        <f t="shared" si="2"/>
        <v>6.440570827755461</v>
      </c>
      <c r="J32" s="17">
        <f t="shared" si="3"/>
        <v>6.954831771818536</v>
      </c>
      <c r="K32" s="16">
        <f>SUM(K33:K34)</f>
        <v>1784677.99</v>
      </c>
      <c r="L32" s="17">
        <f t="shared" si="4"/>
        <v>6.440570827755461</v>
      </c>
      <c r="M32" s="17">
        <f t="shared" si="5"/>
        <v>6.954831771818536</v>
      </c>
    </row>
    <row r="33" spans="1:13" ht="15" outlineLevel="1">
      <c r="A33" s="4" t="s">
        <v>44</v>
      </c>
      <c r="B33" s="18" t="s">
        <v>22</v>
      </c>
      <c r="C33" s="2">
        <f>237099.35</f>
        <v>237099.35</v>
      </c>
      <c r="D33" s="2">
        <f>256609.8</f>
        <v>256609.8</v>
      </c>
      <c r="E33" s="2">
        <f>256609.8</f>
        <v>256609.8</v>
      </c>
      <c r="F33" s="19">
        <f t="shared" si="0"/>
        <v>1.0822880788159055</v>
      </c>
      <c r="G33" s="19">
        <f t="shared" si="1"/>
        <v>1</v>
      </c>
      <c r="H33" s="2">
        <f>256609.8</f>
        <v>256609.8</v>
      </c>
      <c r="I33" s="19">
        <f t="shared" si="2"/>
        <v>1.0822880788159055</v>
      </c>
      <c r="J33" s="19">
        <f t="shared" si="3"/>
        <v>1</v>
      </c>
      <c r="K33" s="2">
        <f>256609.8</f>
        <v>256609.8</v>
      </c>
      <c r="L33" s="19">
        <f t="shared" si="4"/>
        <v>1.0822880788159055</v>
      </c>
      <c r="M33" s="19">
        <f t="shared" si="5"/>
        <v>1</v>
      </c>
    </row>
    <row r="34" spans="1:13" ht="15" outlineLevel="1">
      <c r="A34" s="4" t="s">
        <v>45</v>
      </c>
      <c r="B34" s="18" t="s">
        <v>23</v>
      </c>
      <c r="C34" s="2">
        <f>40000</f>
        <v>40000</v>
      </c>
      <c r="D34" s="2">
        <f>0</f>
        <v>0</v>
      </c>
      <c r="E34" s="2">
        <f>1528068.19</f>
        <v>1528068.19</v>
      </c>
      <c r="F34" s="19">
        <f t="shared" si="0"/>
        <v>38.20170475</v>
      </c>
      <c r="G34" s="19" t="e">
        <f t="shared" si="1"/>
        <v>#DIV/0!</v>
      </c>
      <c r="H34" s="2">
        <f>1528068.19</f>
        <v>1528068.19</v>
      </c>
      <c r="I34" s="19">
        <f t="shared" si="2"/>
        <v>38.20170475</v>
      </c>
      <c r="J34" s="19" t="e">
        <f t="shared" si="3"/>
        <v>#DIV/0!</v>
      </c>
      <c r="K34" s="2">
        <f>1528068.19</f>
        <v>1528068.19</v>
      </c>
      <c r="L34" s="19">
        <f t="shared" si="4"/>
        <v>38.20170475</v>
      </c>
      <c r="M34" s="19" t="e">
        <f t="shared" si="5"/>
        <v>#DIV/0!</v>
      </c>
    </row>
    <row r="35" spans="1:13" s="1" customFormat="1" ht="15">
      <c r="A35" s="14" t="s">
        <v>46</v>
      </c>
      <c r="B35" s="15" t="s">
        <v>24</v>
      </c>
      <c r="C35" s="16">
        <f>C36</f>
        <v>74795.4</v>
      </c>
      <c r="D35" s="16">
        <f>D36</f>
        <v>77000</v>
      </c>
      <c r="E35" s="16">
        <f>E36</f>
        <v>77000</v>
      </c>
      <c r="F35" s="17">
        <f t="shared" si="0"/>
        <v>1.0294750746703676</v>
      </c>
      <c r="G35" s="17">
        <f t="shared" si="1"/>
        <v>1</v>
      </c>
      <c r="H35" s="16">
        <f>H36</f>
        <v>182717.71</v>
      </c>
      <c r="I35" s="17">
        <f t="shared" si="2"/>
        <v>2.442900365530501</v>
      </c>
      <c r="J35" s="17">
        <f t="shared" si="3"/>
        <v>2.3729572727272727</v>
      </c>
      <c r="K35" s="16">
        <f>K36</f>
        <v>182717.71</v>
      </c>
      <c r="L35" s="17">
        <f t="shared" si="4"/>
        <v>2.442900365530501</v>
      </c>
      <c r="M35" s="17">
        <f t="shared" si="5"/>
        <v>2.3729572727272727</v>
      </c>
    </row>
    <row r="36" spans="1:13" ht="15" outlineLevel="1">
      <c r="A36" s="4" t="s">
        <v>47</v>
      </c>
      <c r="B36" s="18" t="s">
        <v>25</v>
      </c>
      <c r="C36" s="2">
        <f>74795.4</f>
        <v>74795.4</v>
      </c>
      <c r="D36" s="2">
        <f>77000</f>
        <v>77000</v>
      </c>
      <c r="E36" s="2">
        <f>77000</f>
        <v>77000</v>
      </c>
      <c r="F36" s="19">
        <f t="shared" si="0"/>
        <v>1.0294750746703676</v>
      </c>
      <c r="G36" s="19">
        <f t="shared" si="1"/>
        <v>1</v>
      </c>
      <c r="H36" s="2">
        <f>182717.71</f>
        <v>182717.71</v>
      </c>
      <c r="I36" s="19">
        <f t="shared" si="2"/>
        <v>2.442900365530501</v>
      </c>
      <c r="J36" s="19">
        <f t="shared" si="3"/>
        <v>2.3729572727272727</v>
      </c>
      <c r="K36" s="2">
        <f>182717.71</f>
        <v>182717.71</v>
      </c>
      <c r="L36" s="19">
        <f t="shared" si="4"/>
        <v>2.442900365530501</v>
      </c>
      <c r="M36" s="19">
        <f t="shared" si="5"/>
        <v>2.3729572727272727</v>
      </c>
    </row>
    <row r="37" spans="1:13" s="1" customFormat="1" ht="26.25" customHeight="1" hidden="1">
      <c r="A37" s="14" t="s">
        <v>73</v>
      </c>
      <c r="B37" s="15" t="s">
        <v>26</v>
      </c>
      <c r="C37" s="16">
        <f>C38</f>
        <v>0</v>
      </c>
      <c r="D37" s="16">
        <f>D38</f>
        <v>0</v>
      </c>
      <c r="E37" s="16">
        <f>E38</f>
        <v>0</v>
      </c>
      <c r="F37" s="17" t="e">
        <f t="shared" si="0"/>
        <v>#DIV/0!</v>
      </c>
      <c r="G37" s="17">
        <f>0</f>
        <v>0</v>
      </c>
      <c r="H37" s="16">
        <f>H38</f>
        <v>0</v>
      </c>
      <c r="I37" s="17" t="e">
        <f t="shared" si="2"/>
        <v>#DIV/0!</v>
      </c>
      <c r="J37" s="17">
        <f>0</f>
        <v>0</v>
      </c>
      <c r="K37" s="16">
        <f>K38</f>
        <v>0</v>
      </c>
      <c r="L37" s="17" t="e">
        <f t="shared" si="4"/>
        <v>#DIV/0!</v>
      </c>
      <c r="M37" s="17">
        <f>0</f>
        <v>0</v>
      </c>
    </row>
    <row r="38" spans="1:13" ht="0.75" customHeight="1" hidden="1" outlineLevel="1">
      <c r="A38" s="4" t="s">
        <v>74</v>
      </c>
      <c r="B38" s="18" t="s">
        <v>27</v>
      </c>
      <c r="C38" s="2"/>
      <c r="D38" s="2"/>
      <c r="E38" s="2"/>
      <c r="F38" s="19" t="e">
        <f t="shared" si="0"/>
        <v>#DIV/0!</v>
      </c>
      <c r="G38" s="19">
        <f>0</f>
        <v>0</v>
      </c>
      <c r="H38" s="2">
        <f>0</f>
        <v>0</v>
      </c>
      <c r="I38" s="19" t="e">
        <f t="shared" si="2"/>
        <v>#DIV/0!</v>
      </c>
      <c r="J38" s="19">
        <f>0</f>
        <v>0</v>
      </c>
      <c r="K38" s="2"/>
      <c r="L38" s="19" t="e">
        <f t="shared" si="4"/>
        <v>#DIV/0!</v>
      </c>
      <c r="M38" s="19">
        <f>0</f>
        <v>0</v>
      </c>
    </row>
    <row r="39" spans="1:13" s="3" customFormat="1" ht="18.75" customHeight="1" collapsed="1">
      <c r="A39" s="29" t="s">
        <v>62</v>
      </c>
      <c r="B39" s="29"/>
      <c r="C39" s="22">
        <f>C6+C14+C18+C23+C27+C30+C32+C35+C37</f>
        <v>148958469.9</v>
      </c>
      <c r="D39" s="22">
        <f>D6+D14+D18+D23+D27+D30+D32+D35+D37</f>
        <v>128797994.15</v>
      </c>
      <c r="E39" s="22">
        <f>E6+E14+E18+E23+E27+E30+E32+E35+E37</f>
        <v>116610355.41000001</v>
      </c>
      <c r="F39" s="23">
        <f>E39/C39</f>
        <v>0.7828380318909278</v>
      </c>
      <c r="G39" s="23">
        <f t="shared" si="1"/>
        <v>0.9053740019754803</v>
      </c>
      <c r="H39" s="22">
        <f>H6+H14+H18+H23+H27+H30+H32+H35+H37</f>
        <v>102533953.32999998</v>
      </c>
      <c r="I39" s="23">
        <f>H39/C39</f>
        <v>0.6883391954739727</v>
      </c>
      <c r="J39" s="23">
        <f>H39/D39</f>
        <v>0.7960834639286964</v>
      </c>
      <c r="K39" s="22">
        <f>K6+K14+K18+K23+K27+K30+K32+K35+K37</f>
        <v>108365619.82</v>
      </c>
      <c r="L39" s="23">
        <f>K39/C39</f>
        <v>0.7274888087448056</v>
      </c>
      <c r="M39" s="23">
        <f>K39/D39</f>
        <v>0.8413610827960242</v>
      </c>
    </row>
    <row r="40" spans="1:13" ht="15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24"/>
      <c r="M40" s="24"/>
    </row>
  </sheetData>
  <sheetProtection/>
  <mergeCells count="4">
    <mergeCell ref="A2:K2"/>
    <mergeCell ref="A39:B39"/>
    <mergeCell ref="A40:K40"/>
    <mergeCell ref="A1:M1"/>
  </mergeCells>
  <printOptions/>
  <pageMargins left="0.984251968503937" right="0.3937007874015748" top="0.7874015748031497" bottom="0.5905511811023623" header="0.3937007874015748" footer="0.511811023622047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Жирякова</cp:lastModifiedBy>
  <cp:lastPrinted>2023-10-30T12:13:47Z</cp:lastPrinted>
  <dcterms:created xsi:type="dcterms:W3CDTF">2018-10-31T12:49:20Z</dcterms:created>
  <dcterms:modified xsi:type="dcterms:W3CDTF">2023-10-30T12:17:14Z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