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<sst xmlns="http://schemas.openxmlformats.org/spreadsheetml/2006/main" count="268" uniqueCount="266">
  <si>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</si>
  <si>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</si>
  <si>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</si>
  <si>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</si>
  <si>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</si>
  <si>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</si>
  <si>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</si>
  <si>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</si>
  <si>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</si>
  <si>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</si>
  <si>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</si>
  <si>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</si>
  <si>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</si>
  <si>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</si>
  <si>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</si>
  <si>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</si>
  <si>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</si>
  <si>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</si>
  <si>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</si>
  <si>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</si>
  <si>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</si>
  <si>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</si>
  <si>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</si>
  <si>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</si>
  <si>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</si>
  <si>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</si>
  <si>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</si>
  <si>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</si>
  <si>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</si>
  <si>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</si>
  <si>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</si>
  <si>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</si>
  <si>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</si>
  <si>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</si>
  <si>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</si>
  <si>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</si>
  <si>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</si>
  <si>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</si>
  <si>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</si>
  <si>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</si>
  <si>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</si>
  <si>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</si>
  <si>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</si>
  <si>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</si>
  <si>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</si>
  <si>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</si>
  <si>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</si>
  <si>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</si>
  <si>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</si>
  <si>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</si>
  <si>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</si>
  <si>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</si>
  <si>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</si>
  <si>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</si>
  <si>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</si>
  <si>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</si>
  <si>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</si>
  <si>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</si>
  <si>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</si>
  <si>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</si>
  <si>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</si>
  <si>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</si>
  <si>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</si>
  <si>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</si>
  <si>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</si>
  <si>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</si>
  <si>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</si>
  <si>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</si>
  <si>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</si>
  <si>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</si>
  <si>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</si>
  <si>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</si>
  <si>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</si>
  <si>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</si>
  <si>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</si>
  <si>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</si>
  <si>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</si>
  <si>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</si>
  <si>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</si>
  <si>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</si>
  <si>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</si>
  <si>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</si>
  <si>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</si>
  <si>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</si>
  <si>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</si>
  <si>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</si>
  <si>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</si>
  <si>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</si>
  <si>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</si>
  <si>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</si>
  <si>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</si>
  <si>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</si>
  <si>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</si>
  <si>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</si>
  <si>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</si>
  <si>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</si>
  <si>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</si>
  <si>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</si>
  <si>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</si>
  <si>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</si>
  <si>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</si>
  <si>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</si>
  <si>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</si>
  <si>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</si>
  <si>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</si>
  <si>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</si>
  <si>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</si>
  <si>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</si>
  <si>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</si>
  <si>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</si>
  <si>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</si>
  <si>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</si>
  <si>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</si>
  <si>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</si>
  <si>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</si>
  <si>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</si>
  <si>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</si>
  <si>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</si>
  <si>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</si>
  <si>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</si>
  <si>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</si>
  <si>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</si>
  <si>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</si>
  <si>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</si>
  <si>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</si>
  <si>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</si>
  <si>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</si>
  <si>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</si>
  <si>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</si>
  <si>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</si>
  <si>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</si>
  <si>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</si>
  <si>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</si>
  <si>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</si>
  <si>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</si>
  <si>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</si>
  <si>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</si>
  <si>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</si>
  <si>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</si>
  <si>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</si>
  <si>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</si>
  <si>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</si>
  <si>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</si>
  <si>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</si>
  <si>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</si>
  <si>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</si>
  <si>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</si>
  <si>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</si>
  <si>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</si>
  <si>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</si>
  <si>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</si>
  <si>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</si>
  <si>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</si>
  <si>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</si>
  <si>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</si>
  <si>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</si>
  <si>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</si>
  <si>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</si>
  <si>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</si>
  <si>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</si>
  <si>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</si>
  <si>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</si>
  <si>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</si>
  <si>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</si>
  <si>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</si>
  <si>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</si>
  <si>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</si>
  <si>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</si>
  <si>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</si>
  <si>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</si>
  <si>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</si>
  <si>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</si>
  <si>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</si>
  <si>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</si>
  <si>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</si>
  <si>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</si>
  <si>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</si>
  <si>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</si>
  <si>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</si>
  <si>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</si>
  <si>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</si>
  <si>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</si>
  <si>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</si>
  <si>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</si>
  <si>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</si>
  <si>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</si>
  <si>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</si>
  <si>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</si>
  <si>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</si>
  <si>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</si>
  <si>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</si>
  <si>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</si>
  <si>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</si>
  <si>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</si>
  <si>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</si>
  <si>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</si>
  <si>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</si>
  <si>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</si>
  <si>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</si>
  <si>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</si>
  <si>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</si>
  <si>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</si>
  <si>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</si>
  <si>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</si>
  <si>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</si>
  <si>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</si>
  <si>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</si>
  <si>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</si>
  <si>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</si>
  <si>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</si>
  <si>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</si>
  <si>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</si>
  <si>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</si>
  <si>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</si>
  <si>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</si>
  <si>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</si>
  <si>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</si>
  <si>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</si>
  <si>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</si>
  <si>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</si>
  <si>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</si>
  <si>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</si>
  <si>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</si>
  <si>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</si>
  <si>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</si>
  <si>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</si>
  <si>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</si>
  <si>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</si>
  <si>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</si>
  <si>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</si>
  <si>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</si>
  <si>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</si>
  <si>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</si>
  <si>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</si>
  <si>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</si>
  <si>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</si>
  <si>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</si>
  <si>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</si>
  <si>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</si>
  <si>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</si>
  <si>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</si>
  <si>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</si>
  <si>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</si>
  <si>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</si>
  <si>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</si>
  <si>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</si>
  <si>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</si>
  <si>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</si>
  <si>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</si>
  <si>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</si>
  <si>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</si>
  <si>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</si>
  <si>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Приложение № 3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</si>
  <si>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</si>
  <si>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</si>
  <si>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</si>
  <si>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</si>
  <si>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06 1 01 21230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</si>
  <si>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 (Закупка товаров, работ и услуг для обеспечения государственных (муниципальных) нужд)</t>
  </si>
  <si>
    <t>06 1 01 21470</t>
  </si>
  <si>
    <t>Оказание услуг по ведению авторского надзора за выполнением работ  по устройству "сухого" фонтана на пл. Ленина в г. Южа (Закупка товаров, работ и услуг для обеспечения государственных (муниципальных) нужд)</t>
  </si>
  <si>
    <t>06 1 01 21490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</si>
  <si>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</si>
  <si>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</si>
  <si>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</si>
  <si>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от  18.02.2021 №  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</si>
</sst>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49" fontId="47" fillId="33" borderId="12" xfId="0" applyNumberFormat="1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8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="90" zoomScaleNormal="90" zoomScalePageLayoutView="0" workbookViewId="0" topLeftCell="A1">
      <selection activeCell="F10" sqref="F10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2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3" t="s">
        <v>252</v>
      </c>
      <c r="B1" s="43"/>
      <c r="C1" s="43"/>
      <c r="D1" s="43"/>
    </row>
    <row r="2" spans="1:4" ht="18.75">
      <c r="A2" s="43" t="s">
        <v>224</v>
      </c>
      <c r="B2" s="43"/>
      <c r="C2" s="43"/>
      <c r="D2" s="43"/>
    </row>
    <row r="3" spans="1:4" ht="18.75">
      <c r="A3" s="43" t="s">
        <v>225</v>
      </c>
      <c r="B3" s="43"/>
      <c r="C3" s="43"/>
      <c r="D3" s="43"/>
    </row>
    <row r="4" spans="1:4" ht="18.75">
      <c r="A4" s="43" t="s">
        <v>226</v>
      </c>
      <c r="B4" s="43"/>
      <c r="C4" s="43"/>
      <c r="D4" s="43"/>
    </row>
    <row r="5" spans="1:4" ht="75" customHeight="1">
      <c r="A5" s="48" t="s">
        <v>227</v>
      </c>
      <c r="B5" s="48"/>
      <c r="C5" s="48"/>
      <c r="D5" s="48"/>
    </row>
    <row r="6" spans="1:4" ht="18.75">
      <c r="A6" s="43" t="s">
        <v>228</v>
      </c>
      <c r="B6" s="43"/>
      <c r="C6" s="43"/>
      <c r="D6" s="43"/>
    </row>
    <row r="7" spans="1:4" ht="18.75">
      <c r="A7" s="43" t="s">
        <v>229</v>
      </c>
      <c r="B7" s="43"/>
      <c r="C7" s="43"/>
      <c r="D7" s="43"/>
    </row>
    <row r="8" spans="1:4" ht="18.75">
      <c r="A8" s="43" t="s">
        <v>265</v>
      </c>
      <c r="B8" s="43"/>
      <c r="C8" s="43"/>
      <c r="D8" s="43"/>
    </row>
    <row r="10" spans="1:4" ht="18.75">
      <c r="A10" s="46" t="s">
        <v>230</v>
      </c>
      <c r="B10" s="46"/>
      <c r="C10" s="46"/>
      <c r="D10" s="46"/>
    </row>
    <row r="11" spans="1:4" ht="18.75">
      <c r="A11" s="46" t="s">
        <v>189</v>
      </c>
      <c r="B11" s="46"/>
      <c r="C11" s="46"/>
      <c r="D11" s="46"/>
    </row>
    <row r="12" spans="1:4" ht="18.75">
      <c r="A12" s="46" t="s">
        <v>190</v>
      </c>
      <c r="B12" s="46"/>
      <c r="C12" s="46"/>
      <c r="D12" s="46"/>
    </row>
    <row r="13" spans="1:4" ht="18.75">
      <c r="A13" s="46" t="s">
        <v>191</v>
      </c>
      <c r="B13" s="46"/>
      <c r="C13" s="46"/>
      <c r="D13" s="46"/>
    </row>
    <row r="14" spans="1:4" ht="18.75">
      <c r="A14" s="46" t="s">
        <v>192</v>
      </c>
      <c r="B14" s="46"/>
      <c r="C14" s="46"/>
      <c r="D14" s="46"/>
    </row>
    <row r="15" spans="1:4" ht="76.5" customHeight="1">
      <c r="A15" s="47" t="s">
        <v>193</v>
      </c>
      <c r="B15" s="47"/>
      <c r="C15" s="47"/>
      <c r="D15" s="47"/>
    </row>
    <row r="16" spans="1:4" ht="27" customHeight="1">
      <c r="A16" s="46" t="s">
        <v>223</v>
      </c>
      <c r="B16" s="46"/>
      <c r="C16" s="46"/>
      <c r="D16" s="46"/>
    </row>
    <row r="18" spans="1:4" s="6" customFormat="1" ht="136.5" customHeight="1">
      <c r="A18" s="44" t="s">
        <v>194</v>
      </c>
      <c r="B18" s="44"/>
      <c r="C18" s="44"/>
      <c r="D18" s="44"/>
    </row>
    <row r="19" spans="2:3" ht="9" customHeight="1">
      <c r="B19" s="7"/>
      <c r="C19" s="7"/>
    </row>
    <row r="20" spans="1:4" ht="59.25" customHeight="1">
      <c r="A20" s="8" t="s">
        <v>131</v>
      </c>
      <c r="B20" s="8" t="s">
        <v>132</v>
      </c>
      <c r="C20" s="9" t="s">
        <v>133</v>
      </c>
      <c r="D20" s="2" t="s">
        <v>134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2"/>
      <c r="D22" s="15">
        <f>D23+D26</f>
        <v>25915014.09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143</v>
      </c>
      <c r="B25" s="2" t="s">
        <v>77</v>
      </c>
      <c r="C25" s="2">
        <v>600</v>
      </c>
      <c r="D25" s="21">
        <f>100000</f>
        <v>100000</v>
      </c>
    </row>
    <row r="26" spans="1:4" ht="58.5" customHeight="1">
      <c r="A26" s="13" t="s">
        <v>101</v>
      </c>
      <c r="B26" s="14" t="s">
        <v>2</v>
      </c>
      <c r="C26" s="2"/>
      <c r="D26" s="15">
        <f>D27</f>
        <v>25815014.09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SUM(D28:D39)</f>
        <v>25815014.09</v>
      </c>
    </row>
    <row r="28" spans="1:4" ht="97.5" customHeight="1">
      <c r="A28" s="1" t="s">
        <v>144</v>
      </c>
      <c r="B28" s="2" t="s">
        <v>70</v>
      </c>
      <c r="C28" s="2">
        <v>600</v>
      </c>
      <c r="D28" s="21">
        <f>16560366.69+227549.52</f>
        <v>16787916.21</v>
      </c>
    </row>
    <row r="29" spans="1:4" ht="60" customHeight="1">
      <c r="A29" s="3" t="s">
        <v>31</v>
      </c>
      <c r="B29" s="2" t="s">
        <v>69</v>
      </c>
      <c r="C29" s="2">
        <v>600</v>
      </c>
      <c r="D29" s="21">
        <f>33440</f>
        <v>33440</v>
      </c>
    </row>
    <row r="30" spans="1:4" ht="58.5" customHeight="1">
      <c r="A30" s="3" t="s">
        <v>32</v>
      </c>
      <c r="B30" s="2" t="s">
        <v>78</v>
      </c>
      <c r="C30" s="2">
        <v>600</v>
      </c>
      <c r="D30" s="21">
        <f>5280</f>
        <v>5280</v>
      </c>
    </row>
    <row r="31" spans="1:4" ht="77.25" customHeight="1">
      <c r="A31" s="3" t="s">
        <v>33</v>
      </c>
      <c r="B31" s="2" t="s">
        <v>79</v>
      </c>
      <c r="C31" s="2">
        <v>600</v>
      </c>
      <c r="D31" s="21">
        <f>200000+618928</f>
        <v>818928</v>
      </c>
    </row>
    <row r="32" spans="1:4" ht="77.25" customHeight="1">
      <c r="A32" s="1" t="s">
        <v>34</v>
      </c>
      <c r="B32" s="2" t="s">
        <v>80</v>
      </c>
      <c r="C32" s="2">
        <v>200</v>
      </c>
      <c r="D32" s="21">
        <f>77000</f>
        <v>77000</v>
      </c>
    </row>
    <row r="33" spans="1:4" ht="76.5" customHeight="1">
      <c r="A33" s="1" t="s">
        <v>35</v>
      </c>
      <c r="B33" s="2" t="s">
        <v>81</v>
      </c>
      <c r="C33" s="2">
        <v>200</v>
      </c>
      <c r="D33" s="21">
        <f>158840</f>
        <v>158840</v>
      </c>
    </row>
    <row r="34" spans="1:4" ht="97.5" customHeight="1">
      <c r="A34" s="1" t="s">
        <v>163</v>
      </c>
      <c r="B34" s="2" t="s">
        <v>164</v>
      </c>
      <c r="C34" s="2">
        <v>600</v>
      </c>
      <c r="D34" s="21">
        <f>150000</f>
        <v>150000</v>
      </c>
    </row>
    <row r="35" spans="1:4" ht="97.5" customHeight="1">
      <c r="A35" s="1" t="s">
        <v>232</v>
      </c>
      <c r="B35" s="2" t="s">
        <v>233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198</v>
      </c>
      <c r="B36" s="2" t="s">
        <v>199</v>
      </c>
      <c r="C36" s="2">
        <v>600</v>
      </c>
      <c r="D36" s="21">
        <f>4637651+813623</f>
        <v>5451274</v>
      </c>
    </row>
    <row r="37" spans="1:6" ht="191.25" customHeight="1">
      <c r="A37" s="1" t="s">
        <v>145</v>
      </c>
      <c r="B37" s="2" t="s">
        <v>71</v>
      </c>
      <c r="C37" s="2">
        <v>600</v>
      </c>
      <c r="D37" s="21">
        <f>1121650.92</f>
        <v>1121650.92</v>
      </c>
      <c r="E37" s="24"/>
      <c r="F37" s="24"/>
    </row>
    <row r="38" spans="1:6" ht="80.25" customHeight="1">
      <c r="A38" s="25" t="s">
        <v>222</v>
      </c>
      <c r="B38" s="2" t="s">
        <v>221</v>
      </c>
      <c r="C38" s="2">
        <v>200</v>
      </c>
      <c r="D38" s="21">
        <f>1000000+52631.58</f>
        <v>1052631.58</v>
      </c>
      <c r="E38" s="24"/>
      <c r="F38" s="24"/>
    </row>
    <row r="39" spans="1:6" ht="94.5" customHeight="1">
      <c r="A39" s="1" t="s">
        <v>234</v>
      </c>
      <c r="B39" s="2" t="s">
        <v>235</v>
      </c>
      <c r="C39" s="2">
        <v>600</v>
      </c>
      <c r="D39" s="21">
        <f>85053.38</f>
        <v>85053.38</v>
      </c>
      <c r="E39" s="24"/>
      <c r="F39" s="24"/>
    </row>
    <row r="40" spans="1:4" s="16" customFormat="1" ht="75">
      <c r="A40" s="13" t="s">
        <v>103</v>
      </c>
      <c r="B40" s="14" t="s">
        <v>4</v>
      </c>
      <c r="C40" s="14"/>
      <c r="D40" s="15">
        <f>D41+D54+D66+D79+D83+D86+D96+D100</f>
        <v>54085753.57</v>
      </c>
    </row>
    <row r="41" spans="1:4" s="16" customFormat="1" ht="56.25">
      <c r="A41" s="13" t="s">
        <v>37</v>
      </c>
      <c r="B41" s="14" t="s">
        <v>5</v>
      </c>
      <c r="C41" s="14"/>
      <c r="D41" s="15">
        <f>D42</f>
        <v>8781928.91</v>
      </c>
    </row>
    <row r="42" spans="1:4" s="20" customFormat="1" ht="78" customHeight="1">
      <c r="A42" s="22" t="s">
        <v>25</v>
      </c>
      <c r="B42" s="18" t="s">
        <v>6</v>
      </c>
      <c r="C42" s="18"/>
      <c r="D42" s="19">
        <f>SUM(D43:D53)</f>
        <v>8781928.91</v>
      </c>
    </row>
    <row r="43" spans="1:4" ht="78" customHeight="1">
      <c r="A43" s="1" t="s">
        <v>38</v>
      </c>
      <c r="B43" s="2" t="s">
        <v>72</v>
      </c>
      <c r="C43" s="2">
        <v>200</v>
      </c>
      <c r="D43" s="21">
        <f>480000-100000</f>
        <v>380000</v>
      </c>
    </row>
    <row r="44" spans="1:4" ht="114.75" customHeight="1">
      <c r="A44" s="1" t="s">
        <v>94</v>
      </c>
      <c r="B44" s="2" t="s">
        <v>82</v>
      </c>
      <c r="C44" s="2">
        <v>200</v>
      </c>
      <c r="D44" s="21">
        <f>1348056.37</f>
        <v>1348056.37</v>
      </c>
    </row>
    <row r="45" spans="1:4" ht="98.25" customHeight="1">
      <c r="A45" s="1" t="s">
        <v>124</v>
      </c>
      <c r="B45" s="2" t="s">
        <v>125</v>
      </c>
      <c r="C45" s="2">
        <v>200</v>
      </c>
      <c r="D45" s="21">
        <f>60000</f>
        <v>60000</v>
      </c>
    </row>
    <row r="46" spans="1:4" ht="76.5" customHeight="1">
      <c r="A46" s="1" t="s">
        <v>117</v>
      </c>
      <c r="B46" s="2" t="s">
        <v>118</v>
      </c>
      <c r="C46" s="2">
        <v>200</v>
      </c>
      <c r="D46" s="21">
        <f>100103</f>
        <v>100103</v>
      </c>
    </row>
    <row r="47" spans="1:4" ht="76.5" customHeight="1">
      <c r="A47" s="1" t="s">
        <v>153</v>
      </c>
      <c r="B47" s="2" t="s">
        <v>154</v>
      </c>
      <c r="C47" s="2">
        <v>200</v>
      </c>
      <c r="D47" s="21">
        <f>353572+232984</f>
        <v>586556</v>
      </c>
    </row>
    <row r="48" spans="1:4" ht="96" customHeight="1">
      <c r="A48" s="3" t="s">
        <v>126</v>
      </c>
      <c r="B48" s="2" t="s">
        <v>127</v>
      </c>
      <c r="C48" s="2">
        <v>200</v>
      </c>
      <c r="D48" s="21">
        <f>29708.3</f>
        <v>29708.3</v>
      </c>
    </row>
    <row r="49" spans="1:4" ht="136.5" customHeight="1">
      <c r="A49" s="3" t="s">
        <v>155</v>
      </c>
      <c r="B49" s="2" t="s">
        <v>156</v>
      </c>
      <c r="C49" s="2">
        <v>200</v>
      </c>
      <c r="D49" s="21">
        <f>300000</f>
        <v>300000</v>
      </c>
    </row>
    <row r="50" spans="1:4" ht="121.5" customHeight="1">
      <c r="A50" s="1" t="s">
        <v>176</v>
      </c>
      <c r="B50" s="2" t="s">
        <v>177</v>
      </c>
      <c r="C50" s="2">
        <v>200</v>
      </c>
      <c r="D50" s="21">
        <f>1735402.64+2046131.36+9</f>
        <v>3781543</v>
      </c>
    </row>
    <row r="51" spans="1:4" ht="139.5" customHeight="1">
      <c r="A51" s="1" t="s">
        <v>236</v>
      </c>
      <c r="B51" s="2" t="s">
        <v>237</v>
      </c>
      <c r="C51" s="2">
        <v>200</v>
      </c>
      <c r="D51" s="21">
        <f>1112337.02</f>
        <v>1112337.02</v>
      </c>
    </row>
    <row r="52" spans="1:4" ht="135.75" customHeight="1">
      <c r="A52" s="3" t="s">
        <v>238</v>
      </c>
      <c r="B52" s="4" t="s">
        <v>239</v>
      </c>
      <c r="C52" s="2">
        <v>200</v>
      </c>
      <c r="D52" s="21">
        <f>454266.45+395733.55</f>
        <v>850000</v>
      </c>
    </row>
    <row r="53" spans="1:4" ht="270.75" customHeight="1">
      <c r="A53" s="3" t="s">
        <v>167</v>
      </c>
      <c r="B53" s="2" t="s">
        <v>168</v>
      </c>
      <c r="C53" s="2">
        <v>800</v>
      </c>
      <c r="D53" s="21">
        <f>233625.22</f>
        <v>233625.22</v>
      </c>
    </row>
    <row r="54" spans="1:4" s="20" customFormat="1" ht="37.5">
      <c r="A54" s="13" t="s">
        <v>39</v>
      </c>
      <c r="B54" s="14" t="s">
        <v>7</v>
      </c>
      <c r="C54" s="18"/>
      <c r="D54" s="15">
        <f>D55</f>
        <v>11537941.97</v>
      </c>
    </row>
    <row r="55" spans="1:4" s="20" customFormat="1" ht="56.25">
      <c r="A55" s="22" t="s">
        <v>36</v>
      </c>
      <c r="B55" s="18" t="s">
        <v>8</v>
      </c>
      <c r="C55" s="18"/>
      <c r="D55" s="19">
        <f>SUM(D56:D65)</f>
        <v>11537941.97</v>
      </c>
    </row>
    <row r="56" spans="1:6" ht="114.75" customHeight="1">
      <c r="A56" s="1" t="s">
        <v>100</v>
      </c>
      <c r="B56" s="2" t="s">
        <v>73</v>
      </c>
      <c r="C56" s="2">
        <v>200</v>
      </c>
      <c r="D56" s="21">
        <f>2273648.79</f>
        <v>2273648.79</v>
      </c>
      <c r="E56" s="24"/>
      <c r="F56" s="24"/>
    </row>
    <row r="57" spans="1:6" ht="97.5" customHeight="1">
      <c r="A57" s="1" t="s">
        <v>146</v>
      </c>
      <c r="B57" s="2" t="s">
        <v>83</v>
      </c>
      <c r="C57" s="2">
        <v>200</v>
      </c>
      <c r="D57" s="21">
        <f>6300000+396742.12+596592</f>
        <v>7293334.12</v>
      </c>
      <c r="E57" s="24"/>
      <c r="F57" s="24"/>
    </row>
    <row r="58" spans="1:4" ht="63" customHeight="1">
      <c r="A58" s="1" t="s">
        <v>147</v>
      </c>
      <c r="B58" s="2" t="s">
        <v>84</v>
      </c>
      <c r="C58" s="2">
        <v>200</v>
      </c>
      <c r="D58" s="21">
        <f>142242.06</f>
        <v>142242.06</v>
      </c>
    </row>
    <row r="59" spans="1:6" ht="58.5" customHeight="1">
      <c r="A59" s="1" t="s">
        <v>40</v>
      </c>
      <c r="B59" s="2" t="s">
        <v>85</v>
      </c>
      <c r="C59" s="2">
        <v>200</v>
      </c>
      <c r="D59" s="21">
        <f>254873</f>
        <v>254873</v>
      </c>
      <c r="E59" s="24"/>
      <c r="F59" s="24"/>
    </row>
    <row r="60" spans="1:6" ht="78.75" customHeight="1">
      <c r="A60" s="1" t="s">
        <v>159</v>
      </c>
      <c r="B60" s="2" t="s">
        <v>160</v>
      </c>
      <c r="C60" s="2">
        <v>200</v>
      </c>
      <c r="D60" s="21">
        <f>525000</f>
        <v>525000</v>
      </c>
      <c r="E60" s="24"/>
      <c r="F60" s="24"/>
    </row>
    <row r="61" spans="1:6" ht="135.75" customHeight="1">
      <c r="A61" s="3" t="s">
        <v>161</v>
      </c>
      <c r="B61" s="2" t="s">
        <v>162</v>
      </c>
      <c r="C61" s="2">
        <v>200</v>
      </c>
      <c r="D61" s="21">
        <f>239800</f>
        <v>239800</v>
      </c>
      <c r="E61" s="24"/>
      <c r="F61" s="24"/>
    </row>
    <row r="62" spans="1:6" ht="83.25" customHeight="1">
      <c r="A62" s="1" t="s">
        <v>185</v>
      </c>
      <c r="B62" s="2" t="s">
        <v>206</v>
      </c>
      <c r="C62" s="2">
        <v>200</v>
      </c>
      <c r="D62" s="21">
        <f>220000-132984</f>
        <v>87016</v>
      </c>
      <c r="E62" s="24"/>
      <c r="F62" s="24"/>
    </row>
    <row r="63" spans="1:6" ht="81" customHeight="1">
      <c r="A63" s="3" t="s">
        <v>179</v>
      </c>
      <c r="B63" s="2" t="s">
        <v>178</v>
      </c>
      <c r="C63" s="2">
        <v>200</v>
      </c>
      <c r="D63" s="21">
        <f>520030</f>
        <v>520030</v>
      </c>
      <c r="E63" s="24"/>
      <c r="F63" s="24"/>
    </row>
    <row r="64" spans="1:6" ht="153.75" customHeight="1">
      <c r="A64" s="3" t="s">
        <v>251</v>
      </c>
      <c r="B64" s="2" t="s">
        <v>240</v>
      </c>
      <c r="C64" s="2">
        <v>200</v>
      </c>
      <c r="D64" s="21">
        <f>1998</f>
        <v>1998</v>
      </c>
      <c r="E64" s="24"/>
      <c r="F64" s="24"/>
    </row>
    <row r="65" spans="1:6" ht="61.5" customHeight="1">
      <c r="A65" s="3" t="s">
        <v>180</v>
      </c>
      <c r="B65" s="2" t="s">
        <v>195</v>
      </c>
      <c r="C65" s="2">
        <v>200</v>
      </c>
      <c r="D65" s="21">
        <f>200000</f>
        <v>200000</v>
      </c>
      <c r="E65" s="24"/>
      <c r="F65" s="24"/>
    </row>
    <row r="66" spans="1:4" ht="56.25">
      <c r="A66" s="13" t="s">
        <v>95</v>
      </c>
      <c r="B66" s="14" t="s">
        <v>9</v>
      </c>
      <c r="C66" s="2"/>
      <c r="D66" s="15">
        <f>D67+D77</f>
        <v>23845207.809999995</v>
      </c>
    </row>
    <row r="67" spans="1:4" s="26" customFormat="1" ht="56.25">
      <c r="A67" s="22" t="s">
        <v>26</v>
      </c>
      <c r="B67" s="18" t="s">
        <v>10</v>
      </c>
      <c r="C67" s="18"/>
      <c r="D67" s="19">
        <f>SUM(D68:D76)</f>
        <v>20705386.249999996</v>
      </c>
    </row>
    <row r="68" spans="1:4" s="26" customFormat="1" ht="136.5" customHeight="1">
      <c r="A68" s="3" t="s">
        <v>219</v>
      </c>
      <c r="B68" s="2" t="s">
        <v>220</v>
      </c>
      <c r="C68" s="2">
        <v>200</v>
      </c>
      <c r="D68" s="21">
        <f>389629.24</f>
        <v>389629.24</v>
      </c>
    </row>
    <row r="69" spans="1:4" s="26" customFormat="1" ht="136.5" customHeight="1">
      <c r="A69" s="3" t="s">
        <v>241</v>
      </c>
      <c r="B69" s="2" t="s">
        <v>242</v>
      </c>
      <c r="C69" s="2">
        <v>200</v>
      </c>
      <c r="D69" s="21">
        <f>36336</f>
        <v>36336</v>
      </c>
    </row>
    <row r="70" spans="1:4" s="26" customFormat="1" ht="100.5" customHeight="1">
      <c r="A70" s="3" t="s">
        <v>243</v>
      </c>
      <c r="B70" s="2" t="s">
        <v>244</v>
      </c>
      <c r="C70" s="2">
        <v>200</v>
      </c>
      <c r="D70" s="21">
        <f>26756+18869.8</f>
        <v>45625.8</v>
      </c>
    </row>
    <row r="71" spans="1:4" s="26" customFormat="1" ht="156.75" customHeight="1">
      <c r="A71" s="3" t="s">
        <v>245</v>
      </c>
      <c r="B71" s="2" t="s">
        <v>246</v>
      </c>
      <c r="C71" s="2">
        <v>200</v>
      </c>
      <c r="D71" s="21">
        <f>15891</f>
        <v>15891</v>
      </c>
    </row>
    <row r="72" spans="1:6" s="23" customFormat="1" ht="289.5" customHeight="1">
      <c r="A72" s="3" t="s">
        <v>196</v>
      </c>
      <c r="B72" s="2" t="s">
        <v>197</v>
      </c>
      <c r="C72" s="2">
        <v>200</v>
      </c>
      <c r="D72" s="21">
        <f>12557207.56+550360.67+18.82</f>
        <v>13107587.05</v>
      </c>
      <c r="E72" s="27"/>
      <c r="F72" s="28"/>
    </row>
    <row r="73" spans="1:6" s="23" customFormat="1" ht="99.75" customHeight="1">
      <c r="A73" s="3" t="s">
        <v>213</v>
      </c>
      <c r="B73" s="2" t="s">
        <v>214</v>
      </c>
      <c r="C73" s="2">
        <v>200</v>
      </c>
      <c r="D73" s="21">
        <f>2369094.67</f>
        <v>2369094.67</v>
      </c>
      <c r="E73" s="27"/>
      <c r="F73" s="28"/>
    </row>
    <row r="74" spans="1:6" s="23" customFormat="1" ht="96.75" customHeight="1">
      <c r="A74" s="3" t="s">
        <v>215</v>
      </c>
      <c r="B74" s="2" t="s">
        <v>216</v>
      </c>
      <c r="C74" s="2">
        <v>200</v>
      </c>
      <c r="D74" s="21">
        <f>281910</f>
        <v>281910</v>
      </c>
      <c r="E74" s="27"/>
      <c r="F74" s="28"/>
    </row>
    <row r="75" spans="1:6" s="23" customFormat="1" ht="100.5" customHeight="1">
      <c r="A75" s="3" t="s">
        <v>217</v>
      </c>
      <c r="B75" s="2" t="s">
        <v>218</v>
      </c>
      <c r="C75" s="2">
        <v>200</v>
      </c>
      <c r="D75" s="21">
        <f>1001770</f>
        <v>1001770</v>
      </c>
      <c r="E75" s="27"/>
      <c r="F75" s="28"/>
    </row>
    <row r="76" spans="1:6" ht="157.5" customHeight="1">
      <c r="A76" s="1" t="s">
        <v>175</v>
      </c>
      <c r="B76" s="2" t="s">
        <v>174</v>
      </c>
      <c r="C76" s="2">
        <v>200</v>
      </c>
      <c r="D76" s="21">
        <f>3284665.36+172877.13</f>
        <v>3457542.4899999998</v>
      </c>
      <c r="E76" s="24"/>
      <c r="F76" s="24"/>
    </row>
    <row r="77" spans="1:6" s="20" customFormat="1" ht="60" customHeight="1">
      <c r="A77" s="22" t="s">
        <v>139</v>
      </c>
      <c r="B77" s="18" t="s">
        <v>140</v>
      </c>
      <c r="C77" s="18"/>
      <c r="D77" s="19">
        <f>D78</f>
        <v>3139821.56</v>
      </c>
      <c r="E77" s="29"/>
      <c r="F77" s="29"/>
    </row>
    <row r="78" spans="1:6" ht="118.5" customHeight="1">
      <c r="A78" s="1" t="s">
        <v>141</v>
      </c>
      <c r="B78" s="2" t="s">
        <v>142</v>
      </c>
      <c r="C78" s="2">
        <v>200</v>
      </c>
      <c r="D78" s="21">
        <f>2823999.33+315822.23</f>
        <v>3139821.56</v>
      </c>
      <c r="E78" s="24"/>
      <c r="F78" s="24"/>
    </row>
    <row r="79" spans="1:4" ht="56.25">
      <c r="A79" s="13" t="s">
        <v>96</v>
      </c>
      <c r="B79" s="14" t="s">
        <v>22</v>
      </c>
      <c r="C79" s="14"/>
      <c r="D79" s="15">
        <f>D80</f>
        <v>1389044</v>
      </c>
    </row>
    <row r="80" spans="1:4" s="20" customFormat="1" ht="39" customHeight="1">
      <c r="A80" s="22" t="s">
        <v>28</v>
      </c>
      <c r="B80" s="18" t="s">
        <v>23</v>
      </c>
      <c r="C80" s="18"/>
      <c r="D80" s="19">
        <f>SUM(D81:D82)</f>
        <v>1389044</v>
      </c>
    </row>
    <row r="81" spans="1:4" ht="78" customHeight="1">
      <c r="A81" s="1" t="s">
        <v>41</v>
      </c>
      <c r="B81" s="2" t="s">
        <v>86</v>
      </c>
      <c r="C81" s="2">
        <v>200</v>
      </c>
      <c r="D81" s="21">
        <f>389044</f>
        <v>389044</v>
      </c>
    </row>
    <row r="82" spans="1:4" ht="78" customHeight="1">
      <c r="A82" s="1" t="s">
        <v>187</v>
      </c>
      <c r="B82" s="2" t="s">
        <v>186</v>
      </c>
      <c r="C82" s="2">
        <v>200</v>
      </c>
      <c r="D82" s="21">
        <f>1000000</f>
        <v>1000000</v>
      </c>
    </row>
    <row r="83" spans="1:4" ht="115.5" customHeight="1">
      <c r="A83" s="13" t="s">
        <v>149</v>
      </c>
      <c r="B83" s="14" t="s">
        <v>42</v>
      </c>
      <c r="C83" s="14"/>
      <c r="D83" s="15">
        <f>D84</f>
        <v>2400000</v>
      </c>
    </row>
    <row r="84" spans="1:4" s="20" customFormat="1" ht="57.75" customHeight="1">
      <c r="A84" s="22" t="s">
        <v>44</v>
      </c>
      <c r="B84" s="18" t="s">
        <v>43</v>
      </c>
      <c r="C84" s="18"/>
      <c r="D84" s="19">
        <f>D85</f>
        <v>2400000</v>
      </c>
    </row>
    <row r="85" spans="1:4" ht="115.5" customHeight="1">
      <c r="A85" s="3" t="s">
        <v>148</v>
      </c>
      <c r="B85" s="2" t="s">
        <v>76</v>
      </c>
      <c r="C85" s="2">
        <v>800</v>
      </c>
      <c r="D85" s="21">
        <f>2400000</f>
        <v>2400000</v>
      </c>
    </row>
    <row r="86" spans="1:4" s="26" customFormat="1" ht="56.25">
      <c r="A86" s="13" t="s">
        <v>57</v>
      </c>
      <c r="B86" s="14" t="s">
        <v>58</v>
      </c>
      <c r="C86" s="2"/>
      <c r="D86" s="15">
        <f>D87+D91+D93</f>
        <v>484000</v>
      </c>
    </row>
    <row r="87" spans="1:4" s="26" customFormat="1" ht="37.5">
      <c r="A87" s="22" t="s">
        <v>59</v>
      </c>
      <c r="B87" s="18" t="s">
        <v>55</v>
      </c>
      <c r="C87" s="18"/>
      <c r="D87" s="19">
        <f>SUM(D88:D90)</f>
        <v>124000</v>
      </c>
    </row>
    <row r="88" spans="1:4" s="16" customFormat="1" ht="57.75" customHeight="1">
      <c r="A88" s="1" t="s">
        <v>119</v>
      </c>
      <c r="B88" s="2" t="s">
        <v>120</v>
      </c>
      <c r="C88" s="2">
        <v>200</v>
      </c>
      <c r="D88" s="21">
        <f>25000</f>
        <v>25000</v>
      </c>
    </row>
    <row r="89" spans="1:4" ht="96" customHeight="1">
      <c r="A89" s="1" t="s">
        <v>128</v>
      </c>
      <c r="B89" s="2" t="s">
        <v>87</v>
      </c>
      <c r="C89" s="2">
        <v>200</v>
      </c>
      <c r="D89" s="21">
        <f>90000</f>
        <v>90000</v>
      </c>
    </row>
    <row r="90" spans="1:4" ht="98.25" customHeight="1">
      <c r="A90" s="1" t="s">
        <v>60</v>
      </c>
      <c r="B90" s="2" t="s">
        <v>88</v>
      </c>
      <c r="C90" s="2">
        <v>200</v>
      </c>
      <c r="D90" s="21">
        <f>9000</f>
        <v>9000</v>
      </c>
    </row>
    <row r="91" spans="1:4" s="20" customFormat="1" ht="38.25" customHeight="1">
      <c r="A91" s="22" t="s">
        <v>27</v>
      </c>
      <c r="B91" s="18" t="s">
        <v>65</v>
      </c>
      <c r="C91" s="2"/>
      <c r="D91" s="19">
        <f>D92</f>
        <v>60000</v>
      </c>
    </row>
    <row r="92" spans="1:4" ht="94.5" customHeight="1">
      <c r="A92" s="1" t="s">
        <v>56</v>
      </c>
      <c r="B92" s="2" t="s">
        <v>89</v>
      </c>
      <c r="C92" s="2">
        <v>200</v>
      </c>
      <c r="D92" s="21">
        <f>60000</f>
        <v>60000</v>
      </c>
    </row>
    <row r="93" spans="1:4" s="20" customFormat="1" ht="79.5" customHeight="1">
      <c r="A93" s="22" t="s">
        <v>173</v>
      </c>
      <c r="B93" s="18" t="s">
        <v>121</v>
      </c>
      <c r="C93" s="18"/>
      <c r="D93" s="19">
        <f>SUM(D94:D95)</f>
        <v>300000</v>
      </c>
    </row>
    <row r="94" spans="1:4" ht="115.5" customHeight="1">
      <c r="A94" s="1" t="s">
        <v>122</v>
      </c>
      <c r="B94" s="2" t="s">
        <v>123</v>
      </c>
      <c r="C94" s="2">
        <v>200</v>
      </c>
      <c r="D94" s="21">
        <f>200000</f>
        <v>200000</v>
      </c>
    </row>
    <row r="95" spans="1:4" ht="78.75" customHeight="1">
      <c r="A95" s="1" t="s">
        <v>184</v>
      </c>
      <c r="B95" s="2" t="s">
        <v>183</v>
      </c>
      <c r="C95" s="2">
        <v>200</v>
      </c>
      <c r="D95" s="21">
        <f>100000</f>
        <v>100000</v>
      </c>
    </row>
    <row r="96" spans="1:4" s="26" customFormat="1" ht="115.5" customHeight="1">
      <c r="A96" s="13" t="s">
        <v>107</v>
      </c>
      <c r="B96" s="14" t="s">
        <v>108</v>
      </c>
      <c r="C96" s="14"/>
      <c r="D96" s="15">
        <f>D97</f>
        <v>5307630.88</v>
      </c>
    </row>
    <row r="97" spans="1:4" s="20" customFormat="1" ht="77.25" customHeight="1">
      <c r="A97" s="22" t="s">
        <v>109</v>
      </c>
      <c r="B97" s="18" t="s">
        <v>110</v>
      </c>
      <c r="C97" s="18"/>
      <c r="D97" s="19">
        <f>SUM(D98:D99)</f>
        <v>5307630.88</v>
      </c>
    </row>
    <row r="98" spans="1:4" ht="135.75" customHeight="1">
      <c r="A98" s="3" t="s">
        <v>111</v>
      </c>
      <c r="B98" s="2" t="s">
        <v>112</v>
      </c>
      <c r="C98" s="2">
        <v>100</v>
      </c>
      <c r="D98" s="21">
        <f>3343095.88+1190048.83</f>
        <v>4533144.71</v>
      </c>
    </row>
    <row r="99" spans="1:4" ht="96.75" customHeight="1">
      <c r="A99" s="1" t="s">
        <v>113</v>
      </c>
      <c r="B99" s="2" t="s">
        <v>112</v>
      </c>
      <c r="C99" s="2">
        <v>200</v>
      </c>
      <c r="D99" s="21">
        <f>135278+639208.17</f>
        <v>774486.17</v>
      </c>
    </row>
    <row r="100" spans="1:4" ht="61.5" customHeight="1">
      <c r="A100" s="13" t="s">
        <v>207</v>
      </c>
      <c r="B100" s="14" t="s">
        <v>208</v>
      </c>
      <c r="C100" s="2"/>
      <c r="D100" s="15">
        <f>D101</f>
        <v>340000</v>
      </c>
    </row>
    <row r="101" spans="1:4" ht="59.25" customHeight="1">
      <c r="A101" s="22" t="s">
        <v>209</v>
      </c>
      <c r="B101" s="18" t="s">
        <v>210</v>
      </c>
      <c r="C101" s="2"/>
      <c r="D101" s="19">
        <f>D102</f>
        <v>340000</v>
      </c>
    </row>
    <row r="102" spans="1:4" ht="118.5" customHeight="1">
      <c r="A102" s="1" t="s">
        <v>264</v>
      </c>
      <c r="B102" s="2" t="s">
        <v>253</v>
      </c>
      <c r="C102" s="2">
        <v>800</v>
      </c>
      <c r="D102" s="21">
        <f>340000</f>
        <v>340000</v>
      </c>
    </row>
    <row r="103" spans="1:4" ht="37.5">
      <c r="A103" s="13" t="s">
        <v>104</v>
      </c>
      <c r="B103" s="14" t="s">
        <v>11</v>
      </c>
      <c r="C103" s="2"/>
      <c r="D103" s="15">
        <f>D104+D108</f>
        <v>855000</v>
      </c>
    </row>
    <row r="104" spans="1:4" ht="96.75" customHeight="1">
      <c r="A104" s="13" t="s">
        <v>106</v>
      </c>
      <c r="B104" s="14" t="s">
        <v>12</v>
      </c>
      <c r="C104" s="2"/>
      <c r="D104" s="15">
        <f>D105</f>
        <v>281500</v>
      </c>
    </row>
    <row r="105" spans="1:4" s="26" customFormat="1" ht="56.25">
      <c r="A105" s="22" t="s">
        <v>66</v>
      </c>
      <c r="B105" s="18" t="s">
        <v>13</v>
      </c>
      <c r="C105" s="18"/>
      <c r="D105" s="19">
        <f>SUM(D106:D107)</f>
        <v>281500</v>
      </c>
    </row>
    <row r="106" spans="1:4" s="16" customFormat="1" ht="118.5" customHeight="1">
      <c r="A106" s="1" t="s">
        <v>170</v>
      </c>
      <c r="B106" s="2" t="s">
        <v>169</v>
      </c>
      <c r="C106" s="2">
        <v>200</v>
      </c>
      <c r="D106" s="21">
        <f>100000+180000</f>
        <v>280000</v>
      </c>
    </row>
    <row r="107" spans="1:4" ht="98.25" customHeight="1">
      <c r="A107" s="1" t="s">
        <v>61</v>
      </c>
      <c r="B107" s="2" t="s">
        <v>90</v>
      </c>
      <c r="C107" s="2">
        <v>200</v>
      </c>
      <c r="D107" s="21">
        <f>1500</f>
        <v>1500</v>
      </c>
    </row>
    <row r="108" spans="1:4" ht="76.5" customHeight="1">
      <c r="A108" s="13" t="s">
        <v>62</v>
      </c>
      <c r="B108" s="14" t="s">
        <v>14</v>
      </c>
      <c r="C108" s="2"/>
      <c r="D108" s="15">
        <f>D109</f>
        <v>573500</v>
      </c>
    </row>
    <row r="109" spans="1:4" s="26" customFormat="1" ht="56.25">
      <c r="A109" s="22" t="s">
        <v>67</v>
      </c>
      <c r="B109" s="18" t="s">
        <v>15</v>
      </c>
      <c r="C109" s="18"/>
      <c r="D109" s="19">
        <f>SUM(D110:D112)</f>
        <v>573500</v>
      </c>
    </row>
    <row r="110" spans="1:4" ht="96" customHeight="1">
      <c r="A110" s="1" t="s">
        <v>63</v>
      </c>
      <c r="B110" s="2" t="s">
        <v>91</v>
      </c>
      <c r="C110" s="2">
        <v>200</v>
      </c>
      <c r="D110" s="21">
        <f>261500</f>
        <v>261500</v>
      </c>
    </row>
    <row r="111" spans="1:4" ht="134.25" customHeight="1">
      <c r="A111" s="1" t="s">
        <v>68</v>
      </c>
      <c r="B111" s="2" t="s">
        <v>92</v>
      </c>
      <c r="C111" s="2">
        <v>200</v>
      </c>
      <c r="D111" s="21">
        <f>12000</f>
        <v>12000</v>
      </c>
    </row>
    <row r="112" spans="1:4" ht="56.25">
      <c r="A112" s="1" t="s">
        <v>64</v>
      </c>
      <c r="B112" s="2" t="s">
        <v>93</v>
      </c>
      <c r="C112" s="2">
        <v>800</v>
      </c>
      <c r="D112" s="21">
        <f>400000-100000</f>
        <v>300000</v>
      </c>
    </row>
    <row r="113" spans="1:4" ht="75">
      <c r="A113" s="13" t="s">
        <v>105</v>
      </c>
      <c r="B113" s="14" t="s">
        <v>45</v>
      </c>
      <c r="C113" s="2"/>
      <c r="D113" s="15">
        <f>D114+D117</f>
        <v>1463068.19</v>
      </c>
    </row>
    <row r="114" spans="1:4" ht="37.5">
      <c r="A114" s="13" t="s">
        <v>46</v>
      </c>
      <c r="B114" s="14" t="s">
        <v>47</v>
      </c>
      <c r="C114" s="2"/>
      <c r="D114" s="15">
        <f>D115</f>
        <v>1061628.19</v>
      </c>
    </row>
    <row r="115" spans="1:4" s="20" customFormat="1" ht="37.5">
      <c r="A115" s="22" t="s">
        <v>48</v>
      </c>
      <c r="B115" s="18" t="s">
        <v>51</v>
      </c>
      <c r="C115" s="18"/>
      <c r="D115" s="19">
        <f>SUM(D116:D116)</f>
        <v>1061628.19</v>
      </c>
    </row>
    <row r="116" spans="1:4" ht="59.25" customHeight="1">
      <c r="A116" s="1" t="s">
        <v>52</v>
      </c>
      <c r="B116" s="2" t="s">
        <v>116</v>
      </c>
      <c r="C116" s="2">
        <v>300</v>
      </c>
      <c r="D116" s="21">
        <f>1061628.19</f>
        <v>1061628.19</v>
      </c>
    </row>
    <row r="117" spans="1:4" ht="56.25">
      <c r="A117" s="13" t="s">
        <v>53</v>
      </c>
      <c r="B117" s="14" t="s">
        <v>50</v>
      </c>
      <c r="C117" s="2"/>
      <c r="D117" s="15">
        <f>D118</f>
        <v>401440</v>
      </c>
    </row>
    <row r="118" spans="1:4" s="20" customFormat="1" ht="56.25">
      <c r="A118" s="22" t="s">
        <v>49</v>
      </c>
      <c r="B118" s="18" t="s">
        <v>54</v>
      </c>
      <c r="C118" s="18"/>
      <c r="D118" s="19">
        <f>SUM(D119:D119)</f>
        <v>401440</v>
      </c>
    </row>
    <row r="119" spans="1:4" ht="137.25" customHeight="1">
      <c r="A119" s="1" t="s">
        <v>114</v>
      </c>
      <c r="B119" s="2" t="s">
        <v>115</v>
      </c>
      <c r="C119" s="2">
        <v>300</v>
      </c>
      <c r="D119" s="21">
        <f>401440</f>
        <v>401440</v>
      </c>
    </row>
    <row r="120" spans="1:4" s="16" customFormat="1" ht="78" customHeight="1">
      <c r="A120" s="13" t="s">
        <v>202</v>
      </c>
      <c r="B120" s="14" t="s">
        <v>203</v>
      </c>
      <c r="C120" s="14"/>
      <c r="D120" s="15">
        <f>D121</f>
        <v>10092046.41</v>
      </c>
    </row>
    <row r="121" spans="1:4" s="16" customFormat="1" ht="39.75" customHeight="1">
      <c r="A121" s="13" t="s">
        <v>211</v>
      </c>
      <c r="B121" s="14" t="s">
        <v>212</v>
      </c>
      <c r="C121" s="14"/>
      <c r="D121" s="15">
        <f>D122+D126</f>
        <v>10092046.41</v>
      </c>
    </row>
    <row r="122" spans="1:4" s="16" customFormat="1" ht="39.75" customHeight="1">
      <c r="A122" s="22" t="s">
        <v>254</v>
      </c>
      <c r="B122" s="18" t="s">
        <v>255</v>
      </c>
      <c r="C122" s="39"/>
      <c r="D122" s="19">
        <f>SUM(D123:D125)</f>
        <v>86783.25</v>
      </c>
    </row>
    <row r="123" spans="1:4" s="16" customFormat="1" ht="99.75" customHeight="1">
      <c r="A123" s="40" t="s">
        <v>256</v>
      </c>
      <c r="B123" s="41" t="s">
        <v>257</v>
      </c>
      <c r="C123" s="2">
        <v>200</v>
      </c>
      <c r="D123" s="21">
        <f>31301.22</f>
        <v>31301.22</v>
      </c>
    </row>
    <row r="124" spans="1:4" s="16" customFormat="1" ht="143.25" customHeight="1">
      <c r="A124" s="1" t="s">
        <v>258</v>
      </c>
      <c r="B124" s="42" t="s">
        <v>259</v>
      </c>
      <c r="C124" s="2">
        <v>200</v>
      </c>
      <c r="D124" s="21">
        <f>38973.35</f>
        <v>38973.35</v>
      </c>
    </row>
    <row r="125" spans="1:4" s="16" customFormat="1" ht="105" customHeight="1">
      <c r="A125" s="1" t="s">
        <v>260</v>
      </c>
      <c r="B125" s="42" t="s">
        <v>261</v>
      </c>
      <c r="C125" s="2">
        <v>200</v>
      </c>
      <c r="D125" s="21">
        <f>16508.68</f>
        <v>16508.68</v>
      </c>
    </row>
    <row r="126" spans="1:4" s="20" customFormat="1" ht="41.25" customHeight="1">
      <c r="A126" s="22" t="s">
        <v>204</v>
      </c>
      <c r="B126" s="18" t="s">
        <v>205</v>
      </c>
      <c r="C126" s="18"/>
      <c r="D126" s="19">
        <f>D127</f>
        <v>10005263.16</v>
      </c>
    </row>
    <row r="127" spans="1:4" s="23" customFormat="1" ht="75.75" customHeight="1">
      <c r="A127" s="1" t="s">
        <v>200</v>
      </c>
      <c r="B127" s="2" t="s">
        <v>201</v>
      </c>
      <c r="C127" s="2">
        <v>200</v>
      </c>
      <c r="D127" s="21">
        <f>10005263.16</f>
        <v>10005263.16</v>
      </c>
    </row>
    <row r="128" spans="1:4" s="31" customFormat="1" ht="39.75" customHeight="1">
      <c r="A128" s="30" t="s">
        <v>137</v>
      </c>
      <c r="B128" s="14" t="s">
        <v>138</v>
      </c>
      <c r="C128" s="14"/>
      <c r="D128" s="15">
        <f>D129</f>
        <v>2519501.7600000002</v>
      </c>
    </row>
    <row r="129" spans="1:4" s="16" customFormat="1" ht="56.25">
      <c r="A129" s="13" t="s">
        <v>29</v>
      </c>
      <c r="B129" s="14" t="s">
        <v>16</v>
      </c>
      <c r="C129" s="2"/>
      <c r="D129" s="15">
        <f>SUM(D130:D133)</f>
        <v>2519501.7600000002</v>
      </c>
    </row>
    <row r="130" spans="1:4" ht="135" customHeight="1">
      <c r="A130" s="1" t="s">
        <v>129</v>
      </c>
      <c r="B130" s="2" t="s">
        <v>17</v>
      </c>
      <c r="C130" s="2">
        <v>100</v>
      </c>
      <c r="D130" s="21">
        <f>762667.02+7626.67</f>
        <v>770293.6900000001</v>
      </c>
    </row>
    <row r="131" spans="1:4" ht="135" customHeight="1">
      <c r="A131" s="1" t="s">
        <v>97</v>
      </c>
      <c r="B131" s="2" t="s">
        <v>74</v>
      </c>
      <c r="C131" s="2">
        <v>100</v>
      </c>
      <c r="D131" s="21">
        <f>1218333.24+5173.08+11235.75</f>
        <v>1234742.07</v>
      </c>
    </row>
    <row r="132" spans="1:4" ht="98.25" customHeight="1">
      <c r="A132" s="1" t="s">
        <v>98</v>
      </c>
      <c r="B132" s="2" t="s">
        <v>74</v>
      </c>
      <c r="C132" s="2">
        <v>200</v>
      </c>
      <c r="D132" s="21">
        <f>484466</f>
        <v>484466</v>
      </c>
    </row>
    <row r="133" spans="1:4" ht="58.5" customHeight="1">
      <c r="A133" s="1" t="s">
        <v>165</v>
      </c>
      <c r="B133" s="2" t="s">
        <v>166</v>
      </c>
      <c r="C133" s="2">
        <v>800</v>
      </c>
      <c r="D133" s="21">
        <f>30000</f>
        <v>30000</v>
      </c>
    </row>
    <row r="134" spans="1:4" s="31" customFormat="1" ht="56.25">
      <c r="A134" s="13" t="s">
        <v>135</v>
      </c>
      <c r="B134" s="14" t="s">
        <v>136</v>
      </c>
      <c r="C134" s="14"/>
      <c r="D134" s="15">
        <f>D135</f>
        <v>1163834.8399999999</v>
      </c>
    </row>
    <row r="135" spans="1:4" s="20" customFormat="1" ht="75">
      <c r="A135" s="13" t="s">
        <v>30</v>
      </c>
      <c r="B135" s="14" t="s">
        <v>18</v>
      </c>
      <c r="C135" s="18"/>
      <c r="D135" s="15">
        <f>SUM(D136:D144)</f>
        <v>1163834.8399999999</v>
      </c>
    </row>
    <row r="136" spans="1:4" s="20" customFormat="1" ht="39.75" customHeight="1">
      <c r="A136" s="1" t="s">
        <v>150</v>
      </c>
      <c r="B136" s="2" t="s">
        <v>151</v>
      </c>
      <c r="C136" s="2">
        <v>800</v>
      </c>
      <c r="D136" s="21">
        <f>70000</f>
        <v>70000</v>
      </c>
    </row>
    <row r="137" spans="1:4" s="20" customFormat="1" ht="60.75" customHeight="1">
      <c r="A137" s="1" t="s">
        <v>171</v>
      </c>
      <c r="B137" s="2" t="s">
        <v>172</v>
      </c>
      <c r="C137" s="2">
        <v>700</v>
      </c>
      <c r="D137" s="21">
        <f>30582.25</f>
        <v>30582.25</v>
      </c>
    </row>
    <row r="138" spans="1:4" s="20" customFormat="1" ht="99" customHeight="1">
      <c r="A138" s="1" t="s">
        <v>157</v>
      </c>
      <c r="B138" s="2" t="s">
        <v>158</v>
      </c>
      <c r="C138" s="2">
        <v>200</v>
      </c>
      <c r="D138" s="21">
        <f>36000</f>
        <v>36000</v>
      </c>
    </row>
    <row r="139" spans="1:4" s="20" customFormat="1" ht="96" customHeight="1">
      <c r="A139" s="1" t="s">
        <v>188</v>
      </c>
      <c r="B139" s="2" t="s">
        <v>152</v>
      </c>
      <c r="C139" s="2">
        <v>200</v>
      </c>
      <c r="D139" s="21">
        <f>200000</f>
        <v>200000</v>
      </c>
    </row>
    <row r="140" spans="1:4" s="20" customFormat="1" ht="100.5" customHeight="1">
      <c r="A140" s="1" t="s">
        <v>181</v>
      </c>
      <c r="B140" s="2" t="s">
        <v>182</v>
      </c>
      <c r="C140" s="2">
        <v>200</v>
      </c>
      <c r="D140" s="21">
        <f>65000+59464.7-59464.7</f>
        <v>65000</v>
      </c>
    </row>
    <row r="141" spans="1:4" s="20" customFormat="1" ht="117" customHeight="1">
      <c r="A141" s="1" t="s">
        <v>247</v>
      </c>
      <c r="B141" s="2" t="s">
        <v>248</v>
      </c>
      <c r="C141" s="2">
        <v>200</v>
      </c>
      <c r="D141" s="21">
        <f>179950</f>
        <v>179950</v>
      </c>
    </row>
    <row r="142" spans="1:4" ht="77.25" customHeight="1">
      <c r="A142" s="1" t="s">
        <v>99</v>
      </c>
      <c r="B142" s="2" t="s">
        <v>75</v>
      </c>
      <c r="C142" s="2">
        <v>300</v>
      </c>
      <c r="D142" s="21">
        <f>208000+40536.2</f>
        <v>248536.2</v>
      </c>
    </row>
    <row r="143" spans="1:4" ht="117.75" customHeight="1">
      <c r="A143" s="1" t="s">
        <v>250</v>
      </c>
      <c r="B143" s="2" t="s">
        <v>249</v>
      </c>
      <c r="C143" s="2">
        <v>800</v>
      </c>
      <c r="D143" s="21">
        <f>283766.39</f>
        <v>283766.39</v>
      </c>
    </row>
    <row r="144" spans="1:4" ht="81" customHeight="1">
      <c r="A144" s="1" t="s">
        <v>263</v>
      </c>
      <c r="B144" s="2" t="s">
        <v>262</v>
      </c>
      <c r="C144" s="2">
        <v>800</v>
      </c>
      <c r="D144" s="21">
        <v>50000</v>
      </c>
    </row>
    <row r="145" spans="1:4" s="6" customFormat="1" ht="18.75">
      <c r="A145" s="45" t="s">
        <v>130</v>
      </c>
      <c r="B145" s="45"/>
      <c r="C145" s="45"/>
      <c r="D145" s="15">
        <f>D22+D40+D103+D113+D128+D134+D120</f>
        <v>96094218.86</v>
      </c>
    </row>
    <row r="146" spans="4:6" ht="18.75">
      <c r="D146" s="33" t="s">
        <v>231</v>
      </c>
      <c r="E146" s="34"/>
      <c r="F146" s="34"/>
    </row>
    <row r="147" spans="2:6" s="16" customFormat="1" ht="18.75">
      <c r="B147" s="35"/>
      <c r="C147" s="36"/>
      <c r="D147" s="34"/>
      <c r="E147" s="34"/>
      <c r="F147" s="34"/>
    </row>
    <row r="150" spans="1:4" s="16" customFormat="1" ht="18.75">
      <c r="A150" s="37"/>
      <c r="B150" s="35"/>
      <c r="C150" s="36"/>
      <c r="D150" s="34"/>
    </row>
    <row r="151" spans="1:4" s="16" customFormat="1" ht="18.75">
      <c r="A151" s="38"/>
      <c r="B151" s="35"/>
      <c r="C151" s="36"/>
      <c r="D151" s="34"/>
    </row>
    <row r="152" ht="18.75">
      <c r="D152" s="34"/>
    </row>
  </sheetData>
  <sheetProtection/>
  <mergeCells count="17">
    <mergeCell ref="A16:D16"/>
    <mergeCell ref="A3:D3"/>
    <mergeCell ref="A4:D4"/>
    <mergeCell ref="A5:D5"/>
    <mergeCell ref="A6:D6"/>
    <mergeCell ref="A7:D7"/>
    <mergeCell ref="A8:D8"/>
    <mergeCell ref="A1:D1"/>
    <mergeCell ref="A2:D2"/>
    <mergeCell ref="A18:D18"/>
    <mergeCell ref="A145:C145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2021-02-18T13:35:33Z</dcterms:modified>
  <cp:category/>
  <cp:version/>
  <cp:contentType/>
  <cp:contentStatus/>
</cp:coreProperties>
</file>