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 №6 Распред на 2020" sheetId="1" r:id="rId1"/>
  </sheets>
  <definedNames>
    <definedName name="_xlnm.Print_Titles" localSheetId="0">'Прил. №6 Распред на 2020'!$21:$21</definedName>
  </definedNames>
  <calcPr fullCalcOnLoad="1"/>
</workbook>
</file>

<file path=xl/sharedStrings.xml><?xml version="1.0" encoding="utf-8"?>
<sst xmlns="http://schemas.openxmlformats.org/spreadsheetml/2006/main" count="274" uniqueCount="271">
  <si>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</si>
  <si>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</si>
  <si>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</si>
  <si>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</si>
  <si>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</si>
  <si>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</si>
  <si>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</si>
  <si>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</si>
  <si>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</si>
  <si>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</si>
  <si>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</si>
  <si>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</si>
  <si>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</si>
  <si>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</si>
  <si>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</si>
  <si>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</si>
  <si>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</si>
  <si>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</si>
  <si>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</si>
  <si>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</si>
  <si>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</si>
  <si>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</si>
  <si>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</si>
  <si>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</si>
  <si>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</si>
  <si>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</si>
  <si>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</si>
  <si>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</si>
  <si>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</si>
  <si>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</si>
  <si>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</si>
  <si>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</si>
  <si>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</si>
  <si>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</si>
  <si>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</si>
  <si>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</si>
  <si>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</si>
  <si>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</si>
  <si>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</si>
  <si>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</si>
  <si>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</si>
  <si>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</si>
  <si>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</si>
  <si>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</si>
  <si>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</si>
  <si>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</si>
  <si>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04 0 00 00000</t>
  </si>
  <si>
    <r>
      <t>Подпрограмма "Обеспечение жильем молодых семей в Южском городском поселении"</t>
    </r>
  </si>
  <si>
    <t>04 1 00 00000</t>
  </si>
  <si>
    <t xml:space="preserve">Основное мероприятие "Обеспечение жильем молодых семей" </t>
  </si>
  <si>
    <t>04 1 01 00000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</si>
  <si>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</si>
  <si>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</si>
  <si>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</si>
  <si>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</si>
  <si>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</si>
  <si>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</si>
  <si>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</si>
  <si>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</si>
  <si>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</si>
  <si>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</si>
  <si>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</si>
  <si>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</si>
  <si>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</si>
  <si>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</si>
  <si>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</si>
  <si>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</si>
  <si>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</si>
  <si>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</si>
  <si>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</si>
  <si>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</si>
  <si>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</si>
  <si>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</si>
  <si>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</si>
  <si>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</si>
  <si>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</si>
  <si>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</si>
  <si>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</si>
  <si>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01 2 01 20060 </t>
  </si>
  <si>
    <t xml:space="preserve">02 1 01 20090 </t>
  </si>
  <si>
    <t xml:space="preserve">02 2 01 20150 </t>
  </si>
  <si>
    <t xml:space="preserve">02 2 01 20160 </t>
  </si>
  <si>
    <t xml:space="preserve">02 2 01 20170 </t>
  </si>
  <si>
    <t xml:space="preserve">02 2 01 20180 </t>
  </si>
  <si>
    <t xml:space="preserve">02 3 01 20190 </t>
  </si>
  <si>
    <t xml:space="preserve">02 3 01 20200 </t>
  </si>
  <si>
    <t xml:space="preserve">02 4 01 20210 </t>
  </si>
  <si>
    <t xml:space="preserve">02 7 01 20230 </t>
  </si>
  <si>
    <t>02 7 01 20240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</si>
  <si>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</si>
  <si>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</si>
  <si>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</si>
  <si>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</si>
  <si>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</si>
  <si>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</si>
  <si>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</si>
  <si>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</si>
  <si>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</si>
  <si>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</si>
  <si>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</si>
  <si>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</si>
  <si>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</si>
  <si>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</si>
  <si>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</si>
  <si>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</si>
  <si>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t xml:space="preserve">Муниципальная программа Южского городского поселения "Поддержка граждан (семей) в приобретении жилья в Южском городском поселении"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</si>
  <si>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</si>
  <si>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</si>
  <si>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</si>
  <si>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</si>
  <si>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</si>
  <si>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</si>
  <si>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</si>
  <si>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</si>
  <si>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04 1 01 L4970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</si>
  <si>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</si>
  <si>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</si>
  <si>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Оценка недвижимости (Закупка товаров, работ и услуг для обеспечения государственных (муниципальных) нужд)</t>
  </si>
  <si>
    <t xml:space="preserve">02 7 01 20220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</si>
  <si>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</si>
  <si>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</si>
  <si>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</si>
  <si>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</si>
  <si>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</si>
  <si>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</si>
  <si>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</si>
  <si>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</si>
  <si>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</si>
  <si>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r>
      <t>Всего:</t>
    </r>
    <r>
      <rPr>
        <i/>
        <sz val="14"/>
        <rFont val="Times New Roman"/>
        <family val="1"/>
      </rPr>
      <t xml:space="preserve"> </t>
    </r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</si>
  <si>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</si>
  <si>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</si>
  <si>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</si>
  <si>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</si>
  <si>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 xml:space="preserve">Основное мероприятие "Организация регулируемых перевозок по регулируемым тарифам" </t>
  </si>
  <si>
    <t>02 3 02 00000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</si>
  <si>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</si>
  <si>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</si>
  <si>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</si>
  <si>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</si>
  <si>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</si>
  <si>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</si>
  <si>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</si>
  <si>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</si>
  <si>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</si>
  <si>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</si>
  <si>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>"О бюджете Южского
городского поселения
на 2020 год и на плановый
период 2021 и 2022 годов"</t>
  </si>
  <si>
    <t>Наименование</t>
  </si>
  <si>
    <t>Целевая статья</t>
  </si>
  <si>
    <t>Вид расходов</t>
  </si>
  <si>
    <t>Сумма, руб.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</si>
  <si>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2020 год</t>
  </si>
  <si>
    <t>31 9 00 90070</t>
  </si>
  <si>
    <t xml:space="preserve">Обеспечение проведения выборов (Иные бюджетные ассигнования) 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</si>
  <si>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</si>
  <si>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</si>
  <si>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</si>
  <si>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Обустройство тротуара по ул. Глушицкий проезд в г. Южа, по решению суда от 05 апреля 2017 года, дело № 2а-184/2017 (Закупка товаров, работ и услуг для обеспечения государственных (муниципальных) нужд)</t>
  </si>
  <si>
    <t>02 3 01 20990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</si>
  <si>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</si>
  <si>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</si>
  <si>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</si>
  <si>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</si>
  <si>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</si>
  <si>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</si>
  <si>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02 1 01 20830</t>
  </si>
  <si>
    <t>02 1 01 40020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</si>
  <si>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</si>
  <si>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</si>
  <si>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</si>
  <si>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</si>
  <si>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</si>
  <si>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</si>
  <si>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Подпрограмма "Благоустройство дворовых и общественных территорий"</t>
  </si>
  <si>
    <t>06 1 00 00000</t>
  </si>
  <si>
    <t>Основное мероприятие "Муниципальный проект "Формирование комфортной городской среды""</t>
  </si>
  <si>
    <t>06 1 F2 00000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</si>
  <si>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(Закупка товаров, работ и услуг для обеспечения государственных (муниципальных) нужд)</t>
  </si>
  <si>
    <t>06 1 F2 54240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</si>
  <si>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</si>
  <si>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</si>
  <si>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</si>
  <si>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</si>
  <si>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</si>
  <si>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</si>
  <si>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</si>
  <si>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</si>
  <si>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</si>
  <si>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</si>
  <si>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Выполнение работ по разработке проекта по ремонту автомобильных дорог на территории Южского городского поселения (Закупка товаров, работ и услуг для обеспечения государственных (муниципальных) нужд)</t>
  </si>
  <si>
    <t>02 3 01 21060</t>
  </si>
  <si>
    <t>Выполнение работ по разработке проектно-сметной документации на обустройство наружного искусственного освещения участка автомобильной дороги в г. Южа по ул. Речная (от пересечения с ул. Глушицкий проезд до плотины озера Вазаль), по решению суда от 11 октября 2018 года, дело № 2-647/2018 (Закупка товаров, работ и услуг для обеспечения государственных (муниципальных) нужд)</t>
  </si>
  <si>
    <t>02 3 01 21080</t>
  </si>
  <si>
    <t>03 1 01 21090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</si>
  <si>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</si>
  <si>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</si>
  <si>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Укрепление материально-технической базы муниципальных учреждений культуры  (Муниципальное бюджетное учреждение культуры "Южская клубная система" текущий ремонт котельной клуба д. Нефедово) (Предоставление субсидий бюджетным, автономным учреждениям и иным некоммерческим организациям)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</si>
  <si>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</si>
  <si>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18.12.2019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69</t>
    </r>
  </si>
  <si>
    <t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</t>
  </si>
  <si>
    <t xml:space="preserve">02 1 01 20820 </t>
  </si>
  <si>
    <t>02 1 01 21110</t>
  </si>
  <si>
    <t>Выполнение работ по капитальному ремонту тепловой камеры, расположенной у многоквартирного дома № 11 по ул. Механизаторов (в 6 метрах от стены дома со стороны наземной части сети теплоснабжения) г. Южа Ивановской области, путём восстановления изоляции оборудования, находящегося в камере и путём закрытия камеры, по решению суда от 01 августа 2019 года, дело № 2-422/2019 (Закупка товаров, работ и услуг для обеспечения государственных (муниципальных) нужд)</t>
  </si>
  <si>
    <t>02 1 01 20950</t>
  </si>
  <si>
    <t>Выполнение работ по оборудованию котельной № 3, расположенной по адресу: Ивановская область, г. Южа, ул. Механизаторов, д. 3, резервным источником электроснабжения, по решению суда от 28 июля 2016 года, дело № 2-598/2015 (Закупка товаров, работ и услуг для обеспечения государственных (муниципальных) нужд)</t>
  </si>
  <si>
    <t>02 2 01 21120</t>
  </si>
  <si>
    <t>Выполнение работ по топографической съемке автомобильных дорог Южского городского поселения (Закупка товаров, работ и услуг для обеспечения государственных (муниципальных) нужд)</t>
  </si>
  <si>
    <t>02 3 01 21070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</si>
  <si>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</si>
  <si>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31 9 00 S2000</t>
  </si>
  <si>
    <t>Благоустройство (Приобретение и установка детской игровой площадки по адресу: Глушицкий проезд, д. 5 и д. 7) (Закупка товаров, работ и услуг для обеспечения государственных (муниципальных) нужд)</t>
  </si>
  <si>
    <t>02 1 01 21130</t>
  </si>
  <si>
    <t>Проект благоустройства общественных пространств г. Южи  (Закупка товаров, работ и услуг для обеспечения государственных (муниципальных) нужд)</t>
  </si>
  <si>
    <t>06 1 01 21140</t>
  </si>
  <si>
    <t>Выполнение комплекса работ по благоустройству общественных пространств г. Южи (Закупка товаров, работ и услуг для обеспечения государственных (муниципальных) нужд)</t>
  </si>
  <si>
    <t>Основное мероприятие "Муниципальный проект благоустройства общественных пространств"</t>
  </si>
  <si>
    <t>06 1 01 00000</t>
  </si>
  <si>
    <t xml:space="preserve">Уплата процентов за пользование бюджетным кредитом (Обслуживание государственного (муниципального) долга)
</t>
  </si>
  <si>
    <t>31 9 00 20620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</si>
  <si>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</si>
  <si>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</si>
  <si>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</si>
  <si>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</si>
  <si>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Проведение ремонта участка тепловой сети на пл. Ленина г. Южа (Закупка товаров, работ и услуг для обеспечения государственных (муниципальных) нужд)</t>
  </si>
  <si>
    <t xml:space="preserve">Строительство центральной линии водоснабжения по улицам Футбольная и Фридриха Энгельса г. Южа, по решениям суда от 16 марта 2017 года, дело № 2а-140/2017 и от 12 апреля 2017 года, дело № 2а-180/2017 (Капитальные вложения в объекты  государственной (муниципальной) собственности) 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</si>
  <si>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</si>
  <si>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</si>
  <si>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06 1 01 21160</t>
  </si>
  <si>
    <t>Выполнение работ по разработке чертежей МАФ для проекта комплексного благоустройства городского центра города Южи (Закупка товаров, работ и услуг для обеспечения государственных (муниципальных) нужд)</t>
  </si>
  <si>
    <t>31 9 00 21170</t>
  </si>
  <si>
    <t>01 2 01 S1980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</si>
  <si>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</si>
  <si>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 xml:space="preserve">Мероприятия по уличному освещению Южского городского поселения Южского муниципального района (Иные бюджетные ассигнования) </t>
  </si>
  <si>
    <t>31 9 00 90080</t>
  </si>
  <si>
    <t>31 9 00 90090</t>
  </si>
  <si>
    <t>31 9 00 90100</t>
  </si>
  <si>
    <t>31 9 00 90110</t>
  </si>
  <si>
    <t>31 9 00 90120</t>
  </si>
  <si>
    <t>01 2 01 S1981</t>
  </si>
  <si>
    <t>01 2 01 21180</t>
  </si>
  <si>
    <t>Проведение государственной экспертизы на проведение восстановительных работ (установка мемориального памятника) (Закупка товаров, работ и услуг для обеспечения государственных (муниципальных) нужд)</t>
  </si>
  <si>
    <t>06 1 F2 85100</t>
  </si>
  <si>
    <t>Организация благоустройства территорий в рамках поддержки местных инициатив (Закупка товаров, работ и услуг для обеспечения государственных (муниципальных) нужд)</t>
  </si>
  <si>
    <t xml:space="preserve">Исполнительский сбор по постановлению судебного пристава-исполнителя о взыскании исполнительского сбора от 24.10.2019 г. № 37023/19/227188 , по делу № 2-165/2017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</si>
  <si>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24.10.2019 г., по делу № 2а-184/2017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</si>
  <si>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17.07.2019 г., по делу № 2а-521/2016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</si>
  <si>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22.01.2019 г. № 37023/19/127687, по делу № 2а-521/2016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</si>
  <si>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02.12.2019 г., по делу № 2а-140/2017 (Иные бюджетные ассигнования) 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</si>
  <si>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</si>
  <si>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</si>
  <si>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</si>
  <si>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</si>
  <si>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</si>
  <si>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</si>
  <si>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Приложение № 5</t>
  </si>
  <si>
    <t>"Приложение № 6</t>
  </si>
  <si>
    <t>"</t>
  </si>
  <si>
    <t xml:space="preserve">Основное мероприятие "Разработка и внесение изменений в документы территориального планирования и градостроительного зонирования Южского городского поселения" 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</si>
  <si>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</si>
  <si>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</si>
  <si>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31 9 00 21190</t>
  </si>
  <si>
    <t>31 9 00 51200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</si>
  <si>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обеспечения государственных (муниципальных) нужд)</t>
  </si>
  <si>
    <t>31 9 00 21210</t>
  </si>
  <si>
    <t>Разработка генеральной схемы очистки территории Южского городского поселения по решению суда  дело № 2а-47/2017 от 19.01.2017  (Закупка товаров, работ и услуг для обеспечения государственных (муниципальных) нужд)</t>
  </si>
  <si>
    <t>Консультационные услуги по организации заключения концессионного соглашения в отношении объектов теплоснабжения, находящихся в муниципальной собственности Южского городского поселения (Закупка товаров, работ и услуг для обеспечения государственных (муниципальных) нужд)</t>
  </si>
  <si>
    <t>Проведение аварийно-восстановительных работ кровли здания многоквартирного жилого дома, расположенного по адресу: Южский район, г. Южа, ул. Глушицкий пр., д. 4, поврежденной вследствие неблагоприятных погодных условий (порывистого ветра) 23.04.2020 года (Закупка товаров, работ и услуг для обеспечения государственных (муниципальных) нужд)</t>
  </si>
  <si>
    <t xml:space="preserve"> 02 1 01 21220</t>
  </si>
  <si>
    <t>Разработка проектно-сметной  документации на капитальный ремонт участка сети теплоснабжения 4 очереди (кадастровый номер участка 37:21:060103:80), расположенной  по адресу: г. Южа, ул. Лермонтова-Калинина-Серова-Осипенко-Мира (Закупка товаров, работ и услуг для обеспечения государственных (муниципальных) нужд)</t>
  </si>
  <si>
    <t>31 9 00 90130</t>
  </si>
  <si>
    <t xml:space="preserve">Уплата административного штрафа, предусмотренного ч.1 ст. 12.34 КоАп РФ, в соответствии  с постановлением мирового судьи судебного участка  № 3 Палехского судебного района в Ивановской области от 26.05.2020 (Иные бюджетные ассигнования) </t>
  </si>
  <si>
    <r>
      <t>от</t>
    </r>
    <r>
      <rPr>
        <u val="single"/>
        <sz val="14"/>
        <rFont val="Times New Roman"/>
        <family val="1"/>
      </rPr>
      <t xml:space="preserve"> 18.06.2020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44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</si>
</sst>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 wrapText="1"/>
    </xf>
    <xf numFmtId="0" fontId="6" fillId="33" borderId="0" xfId="0" applyFont="1" applyFill="1" applyAlignment="1">
      <alignment horizontal="right" vertical="top" wrapText="1"/>
    </xf>
    <xf numFmtId="11" fontId="7" fillId="33" borderId="0" xfId="0" applyNumberFormat="1" applyFont="1" applyFill="1" applyBorder="1" applyAlignment="1">
      <alignment horizontal="center" vertical="top" wrapText="1"/>
    </xf>
    <xf numFmtId="0" fontId="6" fillId="33" borderId="0" xfId="0" applyFont="1" applyFill="1" applyAlignment="1">
      <alignment vertical="center"/>
    </xf>
    <xf numFmtId="0" fontId="7" fillId="33" borderId="0" xfId="0" applyFont="1" applyFill="1" applyBorder="1" applyAlignment="1">
      <alignment horizontal="center" vertical="top" wrapText="1"/>
    </xf>
    <xf numFmtId="1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/>
    </xf>
    <xf numFmtId="0" fontId="8" fillId="33" borderId="10" xfId="0" applyNumberFormat="1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/>
    </xf>
    <xf numFmtId="0" fontId="6" fillId="33" borderId="10" xfId="0" applyNumberFormat="1" applyFont="1" applyFill="1" applyBorder="1" applyAlignment="1">
      <alignment horizontal="justify" vertical="top" wrapText="1"/>
    </xf>
    <xf numFmtId="4" fontId="6" fillId="33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justify" vertical="top" wrapText="1"/>
    </xf>
    <xf numFmtId="0" fontId="7" fillId="33" borderId="0" xfId="0" applyFont="1" applyFill="1" applyAlignment="1">
      <alignment horizontal="center" vertical="center"/>
    </xf>
    <xf numFmtId="4" fontId="7" fillId="33" borderId="0" xfId="0" applyNumberFormat="1" applyFont="1" applyFill="1" applyAlignment="1">
      <alignment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 horizontal="right" vertical="center"/>
    </xf>
    <xf numFmtId="0" fontId="9" fillId="33" borderId="0" xfId="0" applyFont="1" applyFill="1" applyAlignment="1">
      <alignment horizontal="right" vertical="center"/>
    </xf>
    <xf numFmtId="4" fontId="9" fillId="33" borderId="0" xfId="0" applyNumberFormat="1" applyFont="1" applyFill="1" applyAlignment="1">
      <alignment vertical="center"/>
    </xf>
    <xf numFmtId="0" fontId="7" fillId="33" borderId="10" xfId="0" applyFont="1" applyFill="1" applyBorder="1" applyAlignment="1">
      <alignment horizontal="justify" vertical="center" wrapText="1"/>
    </xf>
    <xf numFmtId="0" fontId="7" fillId="33" borderId="0" xfId="0" applyFont="1" applyFill="1" applyAlignment="1">
      <alignment vertical="center"/>
    </xf>
    <xf numFmtId="0" fontId="8" fillId="33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justify" vertical="center" wrapText="1"/>
    </xf>
    <xf numFmtId="0" fontId="8" fillId="33" borderId="0" xfId="0" applyFont="1" applyFill="1" applyAlignment="1">
      <alignment vertical="center"/>
    </xf>
    <xf numFmtId="49" fontId="7" fillId="33" borderId="10" xfId="0" applyNumberFormat="1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horizontal="right"/>
    </xf>
    <xf numFmtId="4" fontId="7" fillId="33" borderId="0" xfId="0" applyNumberFormat="1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5"/>
  <sheetViews>
    <sheetView tabSelected="1" zoomScale="90" zoomScaleNormal="90" zoomScalePageLayoutView="0" workbookViewId="0" topLeftCell="A1">
      <selection activeCell="I12" sqref="I12"/>
    </sheetView>
  </sheetViews>
  <sheetFormatPr defaultColWidth="9.140625" defaultRowHeight="15"/>
  <cols>
    <col min="1" max="1" width="62.57421875" style="2" customWidth="1"/>
    <col min="2" max="2" width="19.00390625" style="12" customWidth="1"/>
    <col min="3" max="3" width="9.7109375" style="39" customWidth="1"/>
    <col min="4" max="4" width="19.28125" style="2" customWidth="1"/>
    <col min="5" max="5" width="9.140625" style="2" customWidth="1"/>
    <col min="6" max="6" width="12.8515625" style="2" customWidth="1"/>
    <col min="7" max="7" width="12.140625" style="2" customWidth="1"/>
    <col min="8" max="16384" width="9.140625" style="2" customWidth="1"/>
  </cols>
  <sheetData>
    <row r="1" spans="1:4" ht="18.75">
      <c r="A1" s="1" t="s">
        <v>253</v>
      </c>
      <c r="B1" s="1"/>
      <c r="C1" s="1"/>
      <c r="D1" s="1"/>
    </row>
    <row r="2" spans="1:4" ht="18.75">
      <c r="A2" s="1" t="s">
        <v>247</v>
      </c>
      <c r="B2" s="1"/>
      <c r="C2" s="1"/>
      <c r="D2" s="1"/>
    </row>
    <row r="3" spans="1:4" ht="18.75">
      <c r="A3" s="1" t="s">
        <v>248</v>
      </c>
      <c r="B3" s="1"/>
      <c r="C3" s="1"/>
      <c r="D3" s="1"/>
    </row>
    <row r="4" spans="1:4" ht="18.75">
      <c r="A4" s="1" t="s">
        <v>249</v>
      </c>
      <c r="B4" s="1"/>
      <c r="C4" s="1"/>
      <c r="D4" s="1"/>
    </row>
    <row r="5" spans="1:4" ht="75" customHeight="1">
      <c r="A5" s="3" t="s">
        <v>250</v>
      </c>
      <c r="B5" s="3"/>
      <c r="C5" s="3"/>
      <c r="D5" s="3"/>
    </row>
    <row r="6" spans="1:4" ht="18.75">
      <c r="A6" s="1" t="s">
        <v>251</v>
      </c>
      <c r="B6" s="1"/>
      <c r="C6" s="1"/>
      <c r="D6" s="1"/>
    </row>
    <row r="7" spans="1:4" ht="18.75">
      <c r="A7" s="1" t="s">
        <v>252</v>
      </c>
      <c r="B7" s="1"/>
      <c r="C7" s="1"/>
      <c r="D7" s="1"/>
    </row>
    <row r="8" spans="1:4" ht="18.75">
      <c r="A8" s="1" t="s">
        <v>270</v>
      </c>
      <c r="B8" s="1"/>
      <c r="C8" s="1"/>
      <c r="D8" s="1"/>
    </row>
    <row r="10" spans="1:4" ht="18.75">
      <c r="A10" s="1" t="s">
        <v>254</v>
      </c>
      <c r="B10" s="1"/>
      <c r="C10" s="1"/>
      <c r="D10" s="1"/>
    </row>
    <row r="11" spans="1:4" ht="18.75">
      <c r="A11" s="1" t="s">
        <v>124</v>
      </c>
      <c r="B11" s="1"/>
      <c r="C11" s="1"/>
      <c r="D11" s="1"/>
    </row>
    <row r="12" spans="1:4" ht="18.75">
      <c r="A12" s="1" t="s">
        <v>125</v>
      </c>
      <c r="B12" s="1"/>
      <c r="C12" s="1"/>
      <c r="D12" s="1"/>
    </row>
    <row r="13" spans="1:4" ht="18.75">
      <c r="A13" s="1" t="s">
        <v>126</v>
      </c>
      <c r="B13" s="1"/>
      <c r="C13" s="1"/>
      <c r="D13" s="1"/>
    </row>
    <row r="14" spans="1:4" ht="18.75">
      <c r="A14" s="1" t="s">
        <v>127</v>
      </c>
      <c r="B14" s="1"/>
      <c r="C14" s="1"/>
      <c r="D14" s="1"/>
    </row>
    <row r="15" spans="1:4" ht="78" customHeight="1">
      <c r="A15" s="4" t="s">
        <v>145</v>
      </c>
      <c r="B15" s="4"/>
      <c r="C15" s="4"/>
      <c r="D15" s="4"/>
    </row>
    <row r="16" spans="1:4" ht="20.25" customHeight="1">
      <c r="A16" s="1" t="s">
        <v>197</v>
      </c>
      <c r="B16" s="1"/>
      <c r="C16" s="1"/>
      <c r="D16" s="1"/>
    </row>
    <row r="18" spans="1:4" s="6" customFormat="1" ht="136.5" customHeight="1">
      <c r="A18" s="5" t="s">
        <v>150</v>
      </c>
      <c r="B18" s="5"/>
      <c r="C18" s="5"/>
      <c r="D18" s="5"/>
    </row>
    <row r="19" spans="2:3" ht="18.75">
      <c r="B19" s="7"/>
      <c r="C19" s="7"/>
    </row>
    <row r="20" spans="1:4" ht="57" customHeight="1">
      <c r="A20" s="8" t="s">
        <v>146</v>
      </c>
      <c r="B20" s="8" t="s">
        <v>147</v>
      </c>
      <c r="C20" s="9" t="s">
        <v>148</v>
      </c>
      <c r="D20" s="10" t="s">
        <v>149</v>
      </c>
    </row>
    <row r="21" spans="1:4" s="12" customFormat="1" ht="18.75">
      <c r="A21" s="8">
        <v>1</v>
      </c>
      <c r="B21" s="8">
        <v>2</v>
      </c>
      <c r="C21" s="8">
        <v>3</v>
      </c>
      <c r="D21" s="11">
        <v>4</v>
      </c>
    </row>
    <row r="22" spans="1:4" s="16" customFormat="1" ht="56.25">
      <c r="A22" s="13" t="s">
        <v>102</v>
      </c>
      <c r="B22" s="14" t="s">
        <v>0</v>
      </c>
      <c r="C22" s="10"/>
      <c r="D22" s="15">
        <f>D23+D26</f>
        <v>24244145.560000002</v>
      </c>
    </row>
    <row r="23" spans="1:4" s="16" customFormat="1" ht="58.5" customHeight="1">
      <c r="A23" s="13" t="s">
        <v>21</v>
      </c>
      <c r="B23" s="14" t="s">
        <v>1</v>
      </c>
      <c r="C23" s="14"/>
      <c r="D23" s="15">
        <f>D24</f>
        <v>100000</v>
      </c>
    </row>
    <row r="24" spans="1:4" s="20" customFormat="1" ht="56.25">
      <c r="A24" s="17" t="s">
        <v>20</v>
      </c>
      <c r="B24" s="18" t="s">
        <v>19</v>
      </c>
      <c r="C24" s="18"/>
      <c r="D24" s="19">
        <f>D25</f>
        <v>100000</v>
      </c>
    </row>
    <row r="25" spans="1:4" ht="136.5" customHeight="1">
      <c r="A25" s="21" t="s">
        <v>137</v>
      </c>
      <c r="B25" s="10" t="s">
        <v>74</v>
      </c>
      <c r="C25" s="10">
        <v>600</v>
      </c>
      <c r="D25" s="22">
        <f>100000</f>
        <v>100000</v>
      </c>
    </row>
    <row r="26" spans="1:4" ht="58.5" customHeight="1">
      <c r="A26" s="13" t="s">
        <v>101</v>
      </c>
      <c r="B26" s="14" t="s">
        <v>2</v>
      </c>
      <c r="C26" s="10"/>
      <c r="D26" s="15">
        <f>D27</f>
        <v>24144145.560000002</v>
      </c>
    </row>
    <row r="27" spans="1:4" s="20" customFormat="1" ht="78" customHeight="1">
      <c r="A27" s="23" t="s">
        <v>24</v>
      </c>
      <c r="B27" s="18" t="s">
        <v>3</v>
      </c>
      <c r="C27" s="18"/>
      <c r="D27" s="19">
        <f>SUM(D28:D39)</f>
        <v>24144145.560000002</v>
      </c>
    </row>
    <row r="28" spans="1:4" ht="97.5" customHeight="1">
      <c r="A28" s="24" t="s">
        <v>138</v>
      </c>
      <c r="B28" s="10" t="s">
        <v>67</v>
      </c>
      <c r="C28" s="10">
        <v>600</v>
      </c>
      <c r="D28" s="22">
        <f>16828896.79-355944.43</f>
        <v>16472952.36</v>
      </c>
    </row>
    <row r="29" spans="1:4" ht="60" customHeight="1">
      <c r="A29" s="21" t="s">
        <v>31</v>
      </c>
      <c r="B29" s="10" t="s">
        <v>66</v>
      </c>
      <c r="C29" s="10">
        <v>600</v>
      </c>
      <c r="D29" s="22">
        <f>33440</f>
        <v>33440</v>
      </c>
    </row>
    <row r="30" spans="1:4" ht="58.5" customHeight="1">
      <c r="A30" s="21" t="s">
        <v>32</v>
      </c>
      <c r="B30" s="10" t="s">
        <v>75</v>
      </c>
      <c r="C30" s="10">
        <v>600</v>
      </c>
      <c r="D30" s="22">
        <f>5280</f>
        <v>5280</v>
      </c>
    </row>
    <row r="31" spans="1:4" ht="79.5" customHeight="1">
      <c r="A31" s="21" t="s">
        <v>184</v>
      </c>
      <c r="B31" s="10" t="s">
        <v>76</v>
      </c>
      <c r="C31" s="10">
        <v>600</v>
      </c>
      <c r="D31" s="22">
        <f>200000+318928+58553+355944.43</f>
        <v>933425.4299999999</v>
      </c>
    </row>
    <row r="32" spans="1:4" ht="79.5" customHeight="1">
      <c r="A32" s="24" t="s">
        <v>33</v>
      </c>
      <c r="B32" s="10" t="s">
        <v>77</v>
      </c>
      <c r="C32" s="10">
        <v>200</v>
      </c>
      <c r="D32" s="22">
        <f>77000</f>
        <v>77000</v>
      </c>
    </row>
    <row r="33" spans="1:4" ht="79.5" customHeight="1">
      <c r="A33" s="24" t="s">
        <v>34</v>
      </c>
      <c r="B33" s="10" t="s">
        <v>78</v>
      </c>
      <c r="C33" s="10">
        <v>200</v>
      </c>
      <c r="D33" s="22">
        <f>128840+17856-25000</f>
        <v>121696</v>
      </c>
    </row>
    <row r="34" spans="1:4" ht="96.75" customHeight="1">
      <c r="A34" s="24" t="s">
        <v>178</v>
      </c>
      <c r="B34" s="10" t="s">
        <v>179</v>
      </c>
      <c r="C34" s="10">
        <v>600</v>
      </c>
      <c r="D34" s="22">
        <f>150000</f>
        <v>150000</v>
      </c>
    </row>
    <row r="35" spans="1:4" ht="96.75" customHeight="1">
      <c r="A35" s="24" t="s">
        <v>239</v>
      </c>
      <c r="B35" s="10" t="s">
        <v>238</v>
      </c>
      <c r="C35" s="10">
        <v>200</v>
      </c>
      <c r="D35" s="22">
        <f>25000</f>
        <v>25000</v>
      </c>
    </row>
    <row r="36" spans="1:4" ht="135" customHeight="1">
      <c r="A36" s="21" t="s">
        <v>180</v>
      </c>
      <c r="B36" s="10" t="s">
        <v>181</v>
      </c>
      <c r="C36" s="10">
        <v>600</v>
      </c>
      <c r="D36" s="22">
        <f>4700258-391294</f>
        <v>4308964</v>
      </c>
    </row>
    <row r="37" spans="1:7" ht="193.5" customHeight="1">
      <c r="A37" s="24" t="s">
        <v>139</v>
      </c>
      <c r="B37" s="10" t="s">
        <v>68</v>
      </c>
      <c r="C37" s="10">
        <v>600</v>
      </c>
      <c r="D37" s="22">
        <f>1121650.92</f>
        <v>1121650.92</v>
      </c>
      <c r="E37" s="25"/>
      <c r="F37" s="26"/>
      <c r="G37" s="26"/>
    </row>
    <row r="38" spans="1:7" ht="96" customHeight="1">
      <c r="A38" s="24" t="s">
        <v>230</v>
      </c>
      <c r="B38" s="10" t="s">
        <v>229</v>
      </c>
      <c r="C38" s="10">
        <v>600</v>
      </c>
      <c r="D38" s="22">
        <f>684210.53</f>
        <v>684210.53</v>
      </c>
      <c r="E38" s="25"/>
      <c r="F38" s="26"/>
      <c r="G38" s="26"/>
    </row>
    <row r="39" spans="1:7" ht="136.5" customHeight="1">
      <c r="A39" s="24" t="s">
        <v>195</v>
      </c>
      <c r="B39" s="10" t="s">
        <v>237</v>
      </c>
      <c r="C39" s="10">
        <v>600</v>
      </c>
      <c r="D39" s="22">
        <f>10526.32+200000</f>
        <v>210526.32</v>
      </c>
      <c r="E39" s="25"/>
      <c r="F39" s="26"/>
      <c r="G39" s="26"/>
    </row>
    <row r="40" spans="1:4" s="16" customFormat="1" ht="75">
      <c r="A40" s="13" t="s">
        <v>103</v>
      </c>
      <c r="B40" s="14" t="s">
        <v>4</v>
      </c>
      <c r="C40" s="14"/>
      <c r="D40" s="15">
        <f>D41+D56+D66+D78+D82+D85+D95</f>
        <v>54395531.839999996</v>
      </c>
    </row>
    <row r="41" spans="1:4" s="16" customFormat="1" ht="56.25">
      <c r="A41" s="13" t="s">
        <v>36</v>
      </c>
      <c r="B41" s="14" t="s">
        <v>5</v>
      </c>
      <c r="C41" s="14"/>
      <c r="D41" s="15">
        <f>D42</f>
        <v>8862003.68</v>
      </c>
    </row>
    <row r="42" spans="1:4" s="20" customFormat="1" ht="78" customHeight="1">
      <c r="A42" s="23" t="s">
        <v>25</v>
      </c>
      <c r="B42" s="18" t="s">
        <v>6</v>
      </c>
      <c r="C42" s="18"/>
      <c r="D42" s="19">
        <f>SUM(D43:D55)</f>
        <v>8862003.68</v>
      </c>
    </row>
    <row r="43" spans="1:4" ht="75">
      <c r="A43" s="24" t="s">
        <v>37</v>
      </c>
      <c r="B43" s="10" t="s">
        <v>69</v>
      </c>
      <c r="C43" s="10">
        <v>200</v>
      </c>
      <c r="D43" s="22">
        <f>230000+139115.73+108888</f>
        <v>478003.73</v>
      </c>
    </row>
    <row r="44" spans="1:4" ht="112.5">
      <c r="A44" s="24" t="s">
        <v>94</v>
      </c>
      <c r="B44" s="10" t="s">
        <v>79</v>
      </c>
      <c r="C44" s="10">
        <v>200</v>
      </c>
      <c r="D44" s="22">
        <f>1200000</f>
        <v>1200000</v>
      </c>
    </row>
    <row r="45" spans="1:4" ht="75">
      <c r="A45" s="24" t="s">
        <v>115</v>
      </c>
      <c r="B45" s="10" t="s">
        <v>116</v>
      </c>
      <c r="C45" s="10">
        <v>200</v>
      </c>
      <c r="D45" s="22">
        <f>100103-14944.64</f>
        <v>85158.36</v>
      </c>
    </row>
    <row r="46" spans="1:4" ht="78" customHeight="1">
      <c r="A46" s="24" t="s">
        <v>160</v>
      </c>
      <c r="B46" s="10" t="s">
        <v>161</v>
      </c>
      <c r="C46" s="10">
        <v>200</v>
      </c>
      <c r="D46" s="22">
        <f>353572-180000+40000+148000</f>
        <v>361572</v>
      </c>
    </row>
    <row r="47" spans="1:4" ht="134.25" customHeight="1">
      <c r="A47" s="21" t="s">
        <v>162</v>
      </c>
      <c r="B47" s="10" t="s">
        <v>163</v>
      </c>
      <c r="C47" s="10">
        <v>200</v>
      </c>
      <c r="D47" s="22">
        <f>300000-40000</f>
        <v>260000</v>
      </c>
    </row>
    <row r="48" spans="1:4" ht="96.75" customHeight="1">
      <c r="A48" s="21" t="s">
        <v>198</v>
      </c>
      <c r="B48" s="10" t="s">
        <v>199</v>
      </c>
      <c r="C48" s="10">
        <v>200</v>
      </c>
      <c r="D48" s="22">
        <f>49873.41</f>
        <v>49873.41</v>
      </c>
    </row>
    <row r="49" spans="1:4" ht="114.75" customHeight="1">
      <c r="A49" s="24" t="s">
        <v>185</v>
      </c>
      <c r="B49" s="10" t="s">
        <v>164</v>
      </c>
      <c r="C49" s="10">
        <v>200</v>
      </c>
      <c r="D49" s="22">
        <f>2046140.36</f>
        <v>2046140.36</v>
      </c>
    </row>
    <row r="50" spans="1:4" ht="135" customHeight="1">
      <c r="A50" s="24" t="s">
        <v>203</v>
      </c>
      <c r="B50" s="10" t="s">
        <v>202</v>
      </c>
      <c r="C50" s="10">
        <v>200</v>
      </c>
      <c r="D50" s="22">
        <f>1112337.02</f>
        <v>1112337.02</v>
      </c>
    </row>
    <row r="51" spans="1:4" ht="194.25" customHeight="1">
      <c r="A51" s="21" t="s">
        <v>201</v>
      </c>
      <c r="B51" s="10" t="s">
        <v>200</v>
      </c>
      <c r="C51" s="10">
        <v>200</v>
      </c>
      <c r="D51" s="22">
        <f>30000</f>
        <v>30000</v>
      </c>
    </row>
    <row r="52" spans="1:4" ht="77.25" customHeight="1">
      <c r="A52" s="21" t="s">
        <v>222</v>
      </c>
      <c r="B52" s="10" t="s">
        <v>210</v>
      </c>
      <c r="C52" s="10">
        <v>200</v>
      </c>
      <c r="D52" s="22">
        <f>1218145-50721.73</f>
        <v>1167423.27</v>
      </c>
    </row>
    <row r="53" spans="1:4" ht="146.25" customHeight="1">
      <c r="A53" s="21" t="s">
        <v>267</v>
      </c>
      <c r="B53" s="27" t="s">
        <v>266</v>
      </c>
      <c r="C53" s="10">
        <v>200</v>
      </c>
      <c r="D53" s="22">
        <f>454266.45</f>
        <v>454266.45</v>
      </c>
    </row>
    <row r="54" spans="1:4" ht="120" customHeight="1">
      <c r="A54" s="21" t="s">
        <v>223</v>
      </c>
      <c r="B54" s="10" t="s">
        <v>165</v>
      </c>
      <c r="C54" s="10">
        <v>400</v>
      </c>
      <c r="D54" s="22">
        <f>1099598.52+1000000-292333-242036.44-148000</f>
        <v>1417229.08</v>
      </c>
    </row>
    <row r="55" spans="1:4" ht="270.75" customHeight="1">
      <c r="A55" s="21" t="s">
        <v>186</v>
      </c>
      <c r="B55" s="10" t="s">
        <v>187</v>
      </c>
      <c r="C55" s="10">
        <v>800</v>
      </c>
      <c r="D55" s="22">
        <f>200000</f>
        <v>200000</v>
      </c>
    </row>
    <row r="56" spans="1:4" s="20" customFormat="1" ht="37.5">
      <c r="A56" s="13" t="s">
        <v>38</v>
      </c>
      <c r="B56" s="14" t="s">
        <v>7</v>
      </c>
      <c r="C56" s="18"/>
      <c r="D56" s="15">
        <f>D57</f>
        <v>13781492.189999998</v>
      </c>
    </row>
    <row r="57" spans="1:4" s="20" customFormat="1" ht="56.25">
      <c r="A57" s="23" t="s">
        <v>35</v>
      </c>
      <c r="B57" s="18" t="s">
        <v>8</v>
      </c>
      <c r="C57" s="18"/>
      <c r="D57" s="19">
        <f>SUM(D58:D65)</f>
        <v>13781492.189999998</v>
      </c>
    </row>
    <row r="58" spans="1:7" ht="114.75" customHeight="1">
      <c r="A58" s="24" t="s">
        <v>100</v>
      </c>
      <c r="B58" s="10" t="s">
        <v>70</v>
      </c>
      <c r="C58" s="10">
        <v>200</v>
      </c>
      <c r="D58" s="22">
        <f>2993648.79+140147.05+120930+38000+243000+120000</f>
        <v>3655725.84</v>
      </c>
      <c r="E58" s="25"/>
      <c r="F58" s="26"/>
      <c r="G58" s="26"/>
    </row>
    <row r="59" spans="1:4" ht="96.75" customHeight="1">
      <c r="A59" s="24" t="s">
        <v>140</v>
      </c>
      <c r="B59" s="10" t="s">
        <v>80</v>
      </c>
      <c r="C59" s="10">
        <v>200</v>
      </c>
      <c r="D59" s="22">
        <f>1829257+110000</f>
        <v>1939257</v>
      </c>
    </row>
    <row r="60" spans="1:7" ht="97.5" customHeight="1">
      <c r="A60" s="24" t="s">
        <v>141</v>
      </c>
      <c r="B60" s="10" t="s">
        <v>81</v>
      </c>
      <c r="C60" s="10">
        <v>200</v>
      </c>
      <c r="D60" s="22">
        <f>6300000+494535.67-291142+60000+102000+38000-60000-110000-509989.11-183758.54+956916</f>
        <v>6796562.02</v>
      </c>
      <c r="E60" s="25"/>
      <c r="F60" s="26"/>
      <c r="G60" s="26"/>
    </row>
    <row r="61" spans="1:7" ht="61.5" customHeight="1">
      <c r="A61" s="24" t="s">
        <v>231</v>
      </c>
      <c r="B61" s="10" t="s">
        <v>81</v>
      </c>
      <c r="C61" s="10">
        <v>800</v>
      </c>
      <c r="D61" s="22">
        <f>3758.54+15000</f>
        <v>18758.54</v>
      </c>
      <c r="E61" s="25"/>
      <c r="F61" s="26"/>
      <c r="G61" s="26"/>
    </row>
    <row r="62" spans="1:4" ht="63" customHeight="1">
      <c r="A62" s="24" t="s">
        <v>142</v>
      </c>
      <c r="B62" s="10" t="s">
        <v>82</v>
      </c>
      <c r="C62" s="10">
        <v>200</v>
      </c>
      <c r="D62" s="22">
        <f>142242.06+183757.94+120930-120930+10000+263000+51000-63000</f>
        <v>587000</v>
      </c>
    </row>
    <row r="63" spans="1:7" ht="58.5" customHeight="1">
      <c r="A63" s="24" t="s">
        <v>39</v>
      </c>
      <c r="B63" s="10" t="s">
        <v>83</v>
      </c>
      <c r="C63" s="10">
        <v>200</v>
      </c>
      <c r="D63" s="22">
        <f>254873</f>
        <v>254873</v>
      </c>
      <c r="E63" s="25"/>
      <c r="F63" s="26"/>
      <c r="G63" s="26"/>
    </row>
    <row r="64" spans="1:7" ht="77.25" customHeight="1">
      <c r="A64" s="24" t="s">
        <v>168</v>
      </c>
      <c r="B64" s="10" t="s">
        <v>169</v>
      </c>
      <c r="C64" s="10">
        <v>200</v>
      </c>
      <c r="D64" s="22">
        <f>525000-13684.21-102000-160000-10000+110000</f>
        <v>349315.79</v>
      </c>
      <c r="E64" s="25"/>
      <c r="F64" s="26"/>
      <c r="G64" s="26"/>
    </row>
    <row r="65" spans="1:7" ht="81.75" customHeight="1">
      <c r="A65" s="21" t="s">
        <v>211</v>
      </c>
      <c r="B65" s="10" t="s">
        <v>204</v>
      </c>
      <c r="C65" s="10">
        <v>200</v>
      </c>
      <c r="D65" s="22">
        <f>228000-48000</f>
        <v>180000</v>
      </c>
      <c r="E65" s="25"/>
      <c r="F65" s="26"/>
      <c r="G65" s="26"/>
    </row>
    <row r="66" spans="1:4" ht="56.25">
      <c r="A66" s="13" t="s">
        <v>95</v>
      </c>
      <c r="B66" s="14" t="s">
        <v>9</v>
      </c>
      <c r="C66" s="10"/>
      <c r="D66" s="15">
        <f>D67+D76</f>
        <v>24200530.41</v>
      </c>
    </row>
    <row r="67" spans="1:4" s="28" customFormat="1" ht="56.25">
      <c r="A67" s="23" t="s">
        <v>26</v>
      </c>
      <c r="B67" s="18" t="s">
        <v>10</v>
      </c>
      <c r="C67" s="18"/>
      <c r="D67" s="19">
        <f>SUM(D68:D75)</f>
        <v>21218455.86</v>
      </c>
    </row>
    <row r="68" spans="1:4" ht="56.25">
      <c r="A68" s="24" t="s">
        <v>40</v>
      </c>
      <c r="B68" s="10" t="s">
        <v>84</v>
      </c>
      <c r="C68" s="10">
        <v>200</v>
      </c>
      <c r="D68" s="22">
        <f>14409682.2+291142</f>
        <v>14700824.2</v>
      </c>
    </row>
    <row r="69" spans="1:7" ht="138" customHeight="1">
      <c r="A69" s="24" t="s">
        <v>41</v>
      </c>
      <c r="B69" s="10" t="s">
        <v>85</v>
      </c>
      <c r="C69" s="10">
        <v>200</v>
      </c>
      <c r="D69" s="22">
        <f>575372.76+169989.11-0.01</f>
        <v>745361.86</v>
      </c>
      <c r="E69" s="29"/>
      <c r="F69" s="26"/>
      <c r="G69" s="26"/>
    </row>
    <row r="70" spans="1:7" ht="133.5" customHeight="1">
      <c r="A70" s="21" t="s">
        <v>158</v>
      </c>
      <c r="B70" s="10" t="s">
        <v>159</v>
      </c>
      <c r="C70" s="10">
        <v>200</v>
      </c>
      <c r="D70" s="22">
        <f>342600+48000+49400+287400+440000-495300</f>
        <v>672100</v>
      </c>
      <c r="E70" s="29"/>
      <c r="F70" s="26"/>
      <c r="G70" s="26"/>
    </row>
    <row r="71" spans="1:7" ht="97.5" customHeight="1">
      <c r="A71" s="24" t="s">
        <v>156</v>
      </c>
      <c r="B71" s="10" t="s">
        <v>157</v>
      </c>
      <c r="C71" s="10">
        <v>200</v>
      </c>
      <c r="D71" s="22">
        <f>1209150.55-429000</f>
        <v>780150.55</v>
      </c>
      <c r="E71" s="29"/>
      <c r="F71" s="26"/>
      <c r="G71" s="26"/>
    </row>
    <row r="72" spans="1:7" ht="96.75" customHeight="1">
      <c r="A72" s="24" t="s">
        <v>188</v>
      </c>
      <c r="B72" s="10" t="s">
        <v>189</v>
      </c>
      <c r="C72" s="10">
        <v>200</v>
      </c>
      <c r="D72" s="22">
        <f>738934.26-300000-138000</f>
        <v>300934.26</v>
      </c>
      <c r="E72" s="29"/>
      <c r="F72" s="26"/>
      <c r="G72" s="26"/>
    </row>
    <row r="73" spans="1:7" ht="96.75" customHeight="1">
      <c r="A73" s="24" t="s">
        <v>205</v>
      </c>
      <c r="B73" s="10" t="s">
        <v>206</v>
      </c>
      <c r="C73" s="10">
        <v>200</v>
      </c>
      <c r="D73" s="22">
        <f>300000+60000</f>
        <v>360000</v>
      </c>
      <c r="E73" s="29"/>
      <c r="F73" s="26"/>
      <c r="G73" s="26"/>
    </row>
    <row r="74" spans="1:7" ht="173.25" customHeight="1">
      <c r="A74" s="21" t="s">
        <v>190</v>
      </c>
      <c r="B74" s="10" t="s">
        <v>191</v>
      </c>
      <c r="C74" s="10">
        <v>200</v>
      </c>
      <c r="D74" s="22">
        <f>98896.7-60000-38000+60000</f>
        <v>60896.7</v>
      </c>
      <c r="E74" s="29"/>
      <c r="F74" s="26"/>
      <c r="G74" s="26"/>
    </row>
    <row r="75" spans="1:7" ht="156" customHeight="1">
      <c r="A75" s="21" t="s">
        <v>225</v>
      </c>
      <c r="B75" s="10" t="s">
        <v>224</v>
      </c>
      <c r="C75" s="10">
        <v>200</v>
      </c>
      <c r="D75" s="22">
        <f>179909.41+0.01+3418278.87</f>
        <v>3598188.29</v>
      </c>
      <c r="E75" s="29"/>
      <c r="F75" s="26"/>
      <c r="G75" s="26"/>
    </row>
    <row r="76" spans="1:7" s="20" customFormat="1" ht="60" customHeight="1">
      <c r="A76" s="23" t="s">
        <v>133</v>
      </c>
      <c r="B76" s="18" t="s">
        <v>134</v>
      </c>
      <c r="C76" s="18"/>
      <c r="D76" s="19">
        <f>D77</f>
        <v>2982074.5500000003</v>
      </c>
      <c r="E76" s="30"/>
      <c r="F76" s="31"/>
      <c r="G76" s="31"/>
    </row>
    <row r="77" spans="1:7" ht="118.5" customHeight="1">
      <c r="A77" s="24" t="s">
        <v>135</v>
      </c>
      <c r="B77" s="10" t="s">
        <v>136</v>
      </c>
      <c r="C77" s="10">
        <v>200</v>
      </c>
      <c r="D77" s="22">
        <f>2000000+824058.19-58.86+158075.22</f>
        <v>2982074.5500000003</v>
      </c>
      <c r="E77" s="29"/>
      <c r="F77" s="26"/>
      <c r="G77" s="26"/>
    </row>
    <row r="78" spans="1:4" ht="56.25">
      <c r="A78" s="13" t="s">
        <v>96</v>
      </c>
      <c r="B78" s="14" t="s">
        <v>22</v>
      </c>
      <c r="C78" s="14"/>
      <c r="D78" s="15">
        <f>D79</f>
        <v>1435705.1600000001</v>
      </c>
    </row>
    <row r="79" spans="1:4" s="20" customFormat="1" ht="37.5">
      <c r="A79" s="23" t="s">
        <v>28</v>
      </c>
      <c r="B79" s="18" t="s">
        <v>23</v>
      </c>
      <c r="C79" s="18"/>
      <c r="D79" s="19">
        <f>SUM(D80:D81)</f>
        <v>1435705.1600000001</v>
      </c>
    </row>
    <row r="80" spans="1:4" ht="75">
      <c r="A80" s="24" t="s">
        <v>42</v>
      </c>
      <c r="B80" s="10" t="s">
        <v>86</v>
      </c>
      <c r="C80" s="10">
        <v>200</v>
      </c>
      <c r="D80" s="22">
        <f>389044-61200+354000</f>
        <v>681844</v>
      </c>
    </row>
    <row r="81" spans="1:4" ht="80.25" customHeight="1">
      <c r="A81" s="24" t="s">
        <v>219</v>
      </c>
      <c r="B81" s="10" t="s">
        <v>218</v>
      </c>
      <c r="C81" s="10">
        <v>200</v>
      </c>
      <c r="D81" s="22">
        <f>160000+947861.16-354000</f>
        <v>753861.1600000001</v>
      </c>
    </row>
    <row r="82" spans="1:4" ht="115.5" customHeight="1">
      <c r="A82" s="13" t="s">
        <v>144</v>
      </c>
      <c r="B82" s="14" t="s">
        <v>43</v>
      </c>
      <c r="C82" s="14"/>
      <c r="D82" s="15">
        <f>D83</f>
        <v>2400000</v>
      </c>
    </row>
    <row r="83" spans="1:4" s="20" customFormat="1" ht="59.25" customHeight="1">
      <c r="A83" s="23" t="s">
        <v>45</v>
      </c>
      <c r="B83" s="18" t="s">
        <v>44</v>
      </c>
      <c r="C83" s="18"/>
      <c r="D83" s="19">
        <f>D84</f>
        <v>2400000</v>
      </c>
    </row>
    <row r="84" spans="1:4" ht="115.5" customHeight="1">
      <c r="A84" s="21" t="s">
        <v>143</v>
      </c>
      <c r="B84" s="10" t="s">
        <v>73</v>
      </c>
      <c r="C84" s="10">
        <v>800</v>
      </c>
      <c r="D84" s="22">
        <f>2400000</f>
        <v>2400000</v>
      </c>
    </row>
    <row r="85" spans="1:4" s="28" customFormat="1" ht="56.25">
      <c r="A85" s="13" t="s">
        <v>54</v>
      </c>
      <c r="B85" s="14" t="s">
        <v>55</v>
      </c>
      <c r="C85" s="10"/>
      <c r="D85" s="15">
        <f>D86+D90+D92</f>
        <v>281900</v>
      </c>
    </row>
    <row r="86" spans="1:4" s="28" customFormat="1" ht="40.5" customHeight="1">
      <c r="A86" s="23" t="s">
        <v>56</v>
      </c>
      <c r="B86" s="18" t="s">
        <v>52</v>
      </c>
      <c r="C86" s="18"/>
      <c r="D86" s="19">
        <f>SUM(D87:D89)</f>
        <v>106000</v>
      </c>
    </row>
    <row r="87" spans="1:4" s="16" customFormat="1" ht="57.75" customHeight="1">
      <c r="A87" s="24" t="s">
        <v>117</v>
      </c>
      <c r="B87" s="10" t="s">
        <v>118</v>
      </c>
      <c r="C87" s="10">
        <v>200</v>
      </c>
      <c r="D87" s="22">
        <f>25000</f>
        <v>25000</v>
      </c>
    </row>
    <row r="88" spans="1:4" ht="96.75" customHeight="1">
      <c r="A88" s="24" t="s">
        <v>122</v>
      </c>
      <c r="B88" s="10" t="s">
        <v>87</v>
      </c>
      <c r="C88" s="10">
        <v>200</v>
      </c>
      <c r="D88" s="22">
        <f>72000</f>
        <v>72000</v>
      </c>
    </row>
    <row r="89" spans="1:4" ht="98.25" customHeight="1">
      <c r="A89" s="24" t="s">
        <v>57</v>
      </c>
      <c r="B89" s="10" t="s">
        <v>88</v>
      </c>
      <c r="C89" s="10">
        <v>200</v>
      </c>
      <c r="D89" s="22">
        <f>9000</f>
        <v>9000</v>
      </c>
    </row>
    <row r="90" spans="1:4" s="20" customFormat="1" ht="42" customHeight="1">
      <c r="A90" s="23" t="s">
        <v>27</v>
      </c>
      <c r="B90" s="18" t="s">
        <v>62</v>
      </c>
      <c r="C90" s="10"/>
      <c r="D90" s="19">
        <f>D91</f>
        <v>27900</v>
      </c>
    </row>
    <row r="91" spans="1:4" ht="96.75" customHeight="1">
      <c r="A91" s="24" t="s">
        <v>53</v>
      </c>
      <c r="B91" s="10" t="s">
        <v>89</v>
      </c>
      <c r="C91" s="10">
        <v>200</v>
      </c>
      <c r="D91" s="22">
        <f>27900</f>
        <v>27900</v>
      </c>
    </row>
    <row r="92" spans="1:4" s="20" customFormat="1" ht="75">
      <c r="A92" s="23" t="s">
        <v>256</v>
      </c>
      <c r="B92" s="18" t="s">
        <v>119</v>
      </c>
      <c r="C92" s="18"/>
      <c r="D92" s="19">
        <f>SUM(D93:D94)</f>
        <v>148000</v>
      </c>
    </row>
    <row r="93" spans="1:4" ht="117.75" customHeight="1">
      <c r="A93" s="24" t="s">
        <v>120</v>
      </c>
      <c r="B93" s="10" t="s">
        <v>121</v>
      </c>
      <c r="C93" s="10">
        <v>200</v>
      </c>
      <c r="D93" s="22">
        <f>60000</f>
        <v>60000</v>
      </c>
    </row>
    <row r="94" spans="1:4" ht="78.75" customHeight="1">
      <c r="A94" s="24" t="s">
        <v>258</v>
      </c>
      <c r="B94" s="10" t="s">
        <v>257</v>
      </c>
      <c r="C94" s="10">
        <v>200</v>
      </c>
      <c r="D94" s="22">
        <v>88000</v>
      </c>
    </row>
    <row r="95" spans="1:4" s="28" customFormat="1" ht="115.5" customHeight="1">
      <c r="A95" s="13" t="s">
        <v>107</v>
      </c>
      <c r="B95" s="14" t="s">
        <v>108</v>
      </c>
      <c r="C95" s="14"/>
      <c r="D95" s="15">
        <f>D96</f>
        <v>3433900.4</v>
      </c>
    </row>
    <row r="96" spans="1:4" s="20" customFormat="1" ht="75">
      <c r="A96" s="23" t="s">
        <v>109</v>
      </c>
      <c r="B96" s="18" t="s">
        <v>110</v>
      </c>
      <c r="C96" s="18"/>
      <c r="D96" s="19">
        <f>SUM(D97:D98)</f>
        <v>3433900.4</v>
      </c>
    </row>
    <row r="97" spans="1:4" ht="132.75" customHeight="1">
      <c r="A97" s="21" t="s">
        <v>111</v>
      </c>
      <c r="B97" s="10" t="s">
        <v>112</v>
      </c>
      <c r="C97" s="10">
        <v>100</v>
      </c>
      <c r="D97" s="22">
        <f>3315406.3</f>
        <v>3315406.3</v>
      </c>
    </row>
    <row r="98" spans="1:4" ht="93.75">
      <c r="A98" s="24" t="s">
        <v>113</v>
      </c>
      <c r="B98" s="10" t="s">
        <v>112</v>
      </c>
      <c r="C98" s="10">
        <v>200</v>
      </c>
      <c r="D98" s="22">
        <f>135278-1783.9-15000</f>
        <v>118494.1</v>
      </c>
    </row>
    <row r="99" spans="1:4" ht="37.5">
      <c r="A99" s="13" t="s">
        <v>104</v>
      </c>
      <c r="B99" s="14" t="s">
        <v>11</v>
      </c>
      <c r="C99" s="10"/>
      <c r="D99" s="15">
        <f>D100+D104</f>
        <v>593865.64</v>
      </c>
    </row>
    <row r="100" spans="1:4" ht="96.75" customHeight="1">
      <c r="A100" s="13" t="s">
        <v>106</v>
      </c>
      <c r="B100" s="14" t="s">
        <v>12</v>
      </c>
      <c r="C100" s="10"/>
      <c r="D100" s="15">
        <f>D101</f>
        <v>151500</v>
      </c>
    </row>
    <row r="101" spans="1:4" s="28" customFormat="1" ht="56.25">
      <c r="A101" s="23" t="s">
        <v>63</v>
      </c>
      <c r="B101" s="18" t="s">
        <v>13</v>
      </c>
      <c r="C101" s="18"/>
      <c r="D101" s="19">
        <f>SUM(D102:D103)</f>
        <v>151500</v>
      </c>
    </row>
    <row r="102" spans="1:4" ht="100.5" customHeight="1">
      <c r="A102" s="24" t="s">
        <v>58</v>
      </c>
      <c r="B102" s="10" t="s">
        <v>90</v>
      </c>
      <c r="C102" s="10">
        <v>200</v>
      </c>
      <c r="D102" s="22">
        <f>1500</f>
        <v>1500</v>
      </c>
    </row>
    <row r="103" spans="1:4" ht="115.5" customHeight="1">
      <c r="A103" s="24" t="s">
        <v>196</v>
      </c>
      <c r="B103" s="10" t="s">
        <v>192</v>
      </c>
      <c r="C103" s="10">
        <v>200</v>
      </c>
      <c r="D103" s="22">
        <f>150000</f>
        <v>150000</v>
      </c>
    </row>
    <row r="104" spans="1:4" ht="76.5" customHeight="1">
      <c r="A104" s="13" t="s">
        <v>59</v>
      </c>
      <c r="B104" s="14" t="s">
        <v>14</v>
      </c>
      <c r="C104" s="10"/>
      <c r="D104" s="15">
        <f>D105</f>
        <v>442365.64</v>
      </c>
    </row>
    <row r="105" spans="1:4" s="28" customFormat="1" ht="56.25">
      <c r="A105" s="23" t="s">
        <v>64</v>
      </c>
      <c r="B105" s="18" t="s">
        <v>15</v>
      </c>
      <c r="C105" s="18"/>
      <c r="D105" s="19">
        <f>SUM(D106:D108)</f>
        <v>442365.64</v>
      </c>
    </row>
    <row r="106" spans="1:4" ht="96" customHeight="1">
      <c r="A106" s="24" t="s">
        <v>60</v>
      </c>
      <c r="B106" s="10" t="s">
        <v>91</v>
      </c>
      <c r="C106" s="10">
        <v>200</v>
      </c>
      <c r="D106" s="22">
        <f>211500</f>
        <v>211500</v>
      </c>
    </row>
    <row r="107" spans="1:4" ht="134.25" customHeight="1">
      <c r="A107" s="24" t="s">
        <v>65</v>
      </c>
      <c r="B107" s="10" t="s">
        <v>92</v>
      </c>
      <c r="C107" s="10">
        <v>200</v>
      </c>
      <c r="D107" s="22">
        <f>12000</f>
        <v>12000</v>
      </c>
    </row>
    <row r="108" spans="1:4" ht="56.25">
      <c r="A108" s="24" t="s">
        <v>61</v>
      </c>
      <c r="B108" s="10" t="s">
        <v>93</v>
      </c>
      <c r="C108" s="10">
        <v>800</v>
      </c>
      <c r="D108" s="22">
        <f>400000-23684.21-103529.15-53921</f>
        <v>218865.64</v>
      </c>
    </row>
    <row r="109" spans="1:4" ht="75">
      <c r="A109" s="13" t="s">
        <v>105</v>
      </c>
      <c r="B109" s="14" t="s">
        <v>46</v>
      </c>
      <c r="C109" s="10"/>
      <c r="D109" s="15">
        <f>D110</f>
        <v>776321.91</v>
      </c>
    </row>
    <row r="110" spans="1:4" ht="37.5">
      <c r="A110" s="13" t="s">
        <v>47</v>
      </c>
      <c r="B110" s="14" t="s">
        <v>48</v>
      </c>
      <c r="C110" s="10"/>
      <c r="D110" s="15">
        <f>D111</f>
        <v>776321.91</v>
      </c>
    </row>
    <row r="111" spans="1:4" s="20" customFormat="1" ht="37.5">
      <c r="A111" s="23" t="s">
        <v>49</v>
      </c>
      <c r="B111" s="18" t="s">
        <v>50</v>
      </c>
      <c r="C111" s="18"/>
      <c r="D111" s="19">
        <f>SUM(D112:D112)</f>
        <v>776321.91</v>
      </c>
    </row>
    <row r="112" spans="1:4" ht="59.25" customHeight="1">
      <c r="A112" s="24" t="s">
        <v>51</v>
      </c>
      <c r="B112" s="10" t="s">
        <v>114</v>
      </c>
      <c r="C112" s="10">
        <v>300</v>
      </c>
      <c r="D112" s="22">
        <f>1041212.27+773472.28-773472.28+773472.28-358888+100000-550000-188000-41474.64</f>
        <v>776321.91</v>
      </c>
    </row>
    <row r="113" spans="1:4" s="33" customFormat="1" ht="78.75" customHeight="1">
      <c r="A113" s="32" t="s">
        <v>170</v>
      </c>
      <c r="B113" s="14" t="s">
        <v>171</v>
      </c>
      <c r="C113" s="14"/>
      <c r="D113" s="15">
        <f>D114</f>
        <v>87688865.21000001</v>
      </c>
    </row>
    <row r="114" spans="1:4" s="16" customFormat="1" ht="42.75" customHeight="1">
      <c r="A114" s="32" t="s">
        <v>172</v>
      </c>
      <c r="B114" s="14" t="s">
        <v>173</v>
      </c>
      <c r="C114" s="14"/>
      <c r="D114" s="15">
        <f>D115+D118</f>
        <v>87688865.21000001</v>
      </c>
    </row>
    <row r="115" spans="1:4" s="20" customFormat="1" ht="42.75" customHeight="1">
      <c r="A115" s="34" t="s">
        <v>214</v>
      </c>
      <c r="B115" s="10" t="s">
        <v>215</v>
      </c>
      <c r="C115" s="18"/>
      <c r="D115" s="19">
        <f>SUM(D116:D117)</f>
        <v>3385181</v>
      </c>
    </row>
    <row r="116" spans="1:4" ht="81.75" customHeight="1">
      <c r="A116" s="35" t="s">
        <v>213</v>
      </c>
      <c r="B116" s="10" t="s">
        <v>212</v>
      </c>
      <c r="C116" s="10">
        <v>200</v>
      </c>
      <c r="D116" s="22">
        <f>3699917-247120-317616</f>
        <v>3135181</v>
      </c>
    </row>
    <row r="117" spans="1:4" ht="101.25" customHeight="1">
      <c r="A117" s="35" t="s">
        <v>227</v>
      </c>
      <c r="B117" s="10" t="s">
        <v>226</v>
      </c>
      <c r="C117" s="10">
        <v>200</v>
      </c>
      <c r="D117" s="22">
        <f>250000</f>
        <v>250000</v>
      </c>
    </row>
    <row r="118" spans="1:4" s="36" customFormat="1" ht="42.75" customHeight="1">
      <c r="A118" s="34" t="s">
        <v>174</v>
      </c>
      <c r="B118" s="18" t="s">
        <v>175</v>
      </c>
      <c r="C118" s="18"/>
      <c r="D118" s="19">
        <f>SUM(D119:D121)</f>
        <v>84303684.21000001</v>
      </c>
    </row>
    <row r="119" spans="1:4" ht="117.75" customHeight="1">
      <c r="A119" s="24" t="s">
        <v>176</v>
      </c>
      <c r="B119" s="10" t="s">
        <v>177</v>
      </c>
      <c r="C119" s="10">
        <v>200</v>
      </c>
      <c r="D119" s="22">
        <f>50000+55800000+450000-55800000+55850000</f>
        <v>56350000</v>
      </c>
    </row>
    <row r="120" spans="1:4" ht="80.25" customHeight="1">
      <c r="A120" s="24" t="s">
        <v>220</v>
      </c>
      <c r="B120" s="10" t="s">
        <v>221</v>
      </c>
      <c r="C120" s="10">
        <v>200</v>
      </c>
      <c r="D120" s="22">
        <f>26013684.21</f>
        <v>26013684.21</v>
      </c>
    </row>
    <row r="121" spans="1:4" ht="80.25" customHeight="1">
      <c r="A121" s="21" t="s">
        <v>241</v>
      </c>
      <c r="B121" s="10" t="s">
        <v>240</v>
      </c>
      <c r="C121" s="10">
        <v>200</v>
      </c>
      <c r="D121" s="22">
        <f>550000-110000+1500000</f>
        <v>1940000</v>
      </c>
    </row>
    <row r="122" spans="1:4" s="33" customFormat="1" ht="39.75" customHeight="1">
      <c r="A122" s="37" t="s">
        <v>131</v>
      </c>
      <c r="B122" s="14" t="s">
        <v>132</v>
      </c>
      <c r="C122" s="14"/>
      <c r="D122" s="15">
        <f>D123</f>
        <v>2437518.09</v>
      </c>
    </row>
    <row r="123" spans="1:4" s="16" customFormat="1" ht="56.25">
      <c r="A123" s="13" t="s">
        <v>29</v>
      </c>
      <c r="B123" s="14" t="s">
        <v>16</v>
      </c>
      <c r="C123" s="10"/>
      <c r="D123" s="15">
        <f>SUM(D124:D127)</f>
        <v>2437518.09</v>
      </c>
    </row>
    <row r="124" spans="1:4" ht="135" customHeight="1">
      <c r="A124" s="24" t="s">
        <v>123</v>
      </c>
      <c r="B124" s="10" t="s">
        <v>17</v>
      </c>
      <c r="C124" s="10">
        <v>100</v>
      </c>
      <c r="D124" s="22">
        <f>731884.6+7685.22</f>
        <v>739569.82</v>
      </c>
    </row>
    <row r="125" spans="1:4" ht="136.5" customHeight="1">
      <c r="A125" s="24" t="s">
        <v>97</v>
      </c>
      <c r="B125" s="10" t="s">
        <v>71</v>
      </c>
      <c r="C125" s="10">
        <v>100</v>
      </c>
      <c r="D125" s="22">
        <f>1172083.85+11398.42</f>
        <v>1183482.27</v>
      </c>
    </row>
    <row r="126" spans="1:4" ht="96.75" customHeight="1">
      <c r="A126" s="24" t="s">
        <v>98</v>
      </c>
      <c r="B126" s="10" t="s">
        <v>71</v>
      </c>
      <c r="C126" s="10">
        <v>200</v>
      </c>
      <c r="D126" s="22">
        <f>484466</f>
        <v>484466</v>
      </c>
    </row>
    <row r="127" spans="1:4" ht="61.5" customHeight="1">
      <c r="A127" s="24" t="s">
        <v>182</v>
      </c>
      <c r="B127" s="10" t="s">
        <v>183</v>
      </c>
      <c r="C127" s="10">
        <v>800</v>
      </c>
      <c r="D127" s="22">
        <f>30000</f>
        <v>30000</v>
      </c>
    </row>
    <row r="128" spans="1:4" s="33" customFormat="1" ht="56.25">
      <c r="A128" s="13" t="s">
        <v>129</v>
      </c>
      <c r="B128" s="14" t="s">
        <v>130</v>
      </c>
      <c r="C128" s="14"/>
      <c r="D128" s="15">
        <f>D129</f>
        <v>3266843.45</v>
      </c>
    </row>
    <row r="129" spans="1:4" s="20" customFormat="1" ht="75">
      <c r="A129" s="13" t="s">
        <v>30</v>
      </c>
      <c r="B129" s="14" t="s">
        <v>18</v>
      </c>
      <c r="C129" s="18"/>
      <c r="D129" s="15">
        <f>SUM(D130:D147)</f>
        <v>3266843.45</v>
      </c>
    </row>
    <row r="130" spans="1:4" s="20" customFormat="1" ht="37.5">
      <c r="A130" s="24" t="s">
        <v>153</v>
      </c>
      <c r="B130" s="10" t="s">
        <v>154</v>
      </c>
      <c r="C130" s="10">
        <v>800</v>
      </c>
      <c r="D130" s="22">
        <f>70000</f>
        <v>70000</v>
      </c>
    </row>
    <row r="131" spans="1:4" s="20" customFormat="1" ht="61.5" customHeight="1">
      <c r="A131" s="24" t="s">
        <v>216</v>
      </c>
      <c r="B131" s="10" t="s">
        <v>217</v>
      </c>
      <c r="C131" s="10">
        <v>700</v>
      </c>
      <c r="D131" s="22">
        <f>36279.18</f>
        <v>36279.18</v>
      </c>
    </row>
    <row r="132" spans="1:4" s="20" customFormat="1" ht="100.5" customHeight="1">
      <c r="A132" s="24" t="s">
        <v>166</v>
      </c>
      <c r="B132" s="10" t="s">
        <v>167</v>
      </c>
      <c r="C132" s="10">
        <v>200</v>
      </c>
      <c r="D132" s="22">
        <f>36000</f>
        <v>36000</v>
      </c>
    </row>
    <row r="133" spans="1:4" s="20" customFormat="1" ht="98.25" customHeight="1">
      <c r="A133" s="24" t="s">
        <v>207</v>
      </c>
      <c r="B133" s="10" t="s">
        <v>155</v>
      </c>
      <c r="C133" s="10">
        <v>200</v>
      </c>
      <c r="D133" s="22">
        <f>100000+100000</f>
        <v>200000</v>
      </c>
    </row>
    <row r="134" spans="1:4" s="20" customFormat="1" ht="115.5" customHeight="1">
      <c r="A134" s="24" t="s">
        <v>193</v>
      </c>
      <c r="B134" s="10" t="s">
        <v>194</v>
      </c>
      <c r="C134" s="10">
        <v>200</v>
      </c>
      <c r="D134" s="22">
        <f>59464.7+1783.9</f>
        <v>61248.6</v>
      </c>
    </row>
    <row r="135" spans="1:4" s="20" customFormat="1" ht="118.5" customHeight="1">
      <c r="A135" s="24" t="s">
        <v>264</v>
      </c>
      <c r="B135" s="10" t="s">
        <v>228</v>
      </c>
      <c r="C135" s="10">
        <v>200</v>
      </c>
      <c r="D135" s="22">
        <f>180000</f>
        <v>180000</v>
      </c>
    </row>
    <row r="136" spans="1:4" s="20" customFormat="1" ht="156" customHeight="1">
      <c r="A136" s="24" t="s">
        <v>265</v>
      </c>
      <c r="B136" s="10" t="s">
        <v>259</v>
      </c>
      <c r="C136" s="10">
        <v>200</v>
      </c>
      <c r="D136" s="22">
        <v>53921</v>
      </c>
    </row>
    <row r="137" spans="1:4" s="20" customFormat="1" ht="98.25" customHeight="1">
      <c r="A137" s="24" t="s">
        <v>263</v>
      </c>
      <c r="B137" s="10" t="s">
        <v>262</v>
      </c>
      <c r="C137" s="10">
        <v>200</v>
      </c>
      <c r="D137" s="22">
        <v>292333</v>
      </c>
    </row>
    <row r="138" spans="1:4" s="20" customFormat="1" ht="118.5" customHeight="1">
      <c r="A138" s="24" t="s">
        <v>261</v>
      </c>
      <c r="B138" s="10" t="s">
        <v>260</v>
      </c>
      <c r="C138" s="10">
        <v>200</v>
      </c>
      <c r="D138" s="22">
        <v>13783.78</v>
      </c>
    </row>
    <row r="139" spans="1:4" ht="77.25" customHeight="1">
      <c r="A139" s="24" t="s">
        <v>99</v>
      </c>
      <c r="B139" s="10" t="s">
        <v>72</v>
      </c>
      <c r="C139" s="10">
        <v>300</v>
      </c>
      <c r="D139" s="22">
        <f>208000</f>
        <v>208000</v>
      </c>
    </row>
    <row r="140" spans="1:4" ht="96" customHeight="1">
      <c r="A140" s="21" t="s">
        <v>209</v>
      </c>
      <c r="B140" s="10" t="s">
        <v>208</v>
      </c>
      <c r="C140" s="10">
        <v>200</v>
      </c>
      <c r="D140" s="22">
        <f>13157.89+250000+247120</f>
        <v>510277.89</v>
      </c>
    </row>
    <row r="141" spans="1:4" ht="39" customHeight="1">
      <c r="A141" s="24" t="s">
        <v>152</v>
      </c>
      <c r="B141" s="10" t="s">
        <v>151</v>
      </c>
      <c r="C141" s="10">
        <v>800</v>
      </c>
      <c r="D141" s="22">
        <f>1250000</f>
        <v>1250000</v>
      </c>
    </row>
    <row r="142" spans="1:4" ht="81" customHeight="1">
      <c r="A142" s="24" t="s">
        <v>242</v>
      </c>
      <c r="B142" s="10" t="s">
        <v>232</v>
      </c>
      <c r="C142" s="10">
        <v>800</v>
      </c>
      <c r="D142" s="22">
        <f>50000</f>
        <v>50000</v>
      </c>
    </row>
    <row r="143" spans="1:4" ht="78.75" customHeight="1">
      <c r="A143" s="24" t="s">
        <v>243</v>
      </c>
      <c r="B143" s="10" t="s">
        <v>233</v>
      </c>
      <c r="C143" s="10">
        <v>800</v>
      </c>
      <c r="D143" s="22">
        <f>50000</f>
        <v>50000</v>
      </c>
    </row>
    <row r="144" spans="1:4" ht="78" customHeight="1">
      <c r="A144" s="24" t="s">
        <v>244</v>
      </c>
      <c r="B144" s="10" t="s">
        <v>234</v>
      </c>
      <c r="C144" s="10">
        <v>800</v>
      </c>
      <c r="D144" s="22">
        <f>50000</f>
        <v>50000</v>
      </c>
    </row>
    <row r="145" spans="1:4" ht="79.5" customHeight="1">
      <c r="A145" s="24" t="s">
        <v>245</v>
      </c>
      <c r="B145" s="10" t="s">
        <v>235</v>
      </c>
      <c r="C145" s="10">
        <v>800</v>
      </c>
      <c r="D145" s="22">
        <f>50000</f>
        <v>50000</v>
      </c>
    </row>
    <row r="146" spans="1:4" ht="78.75" customHeight="1">
      <c r="A146" s="24" t="s">
        <v>246</v>
      </c>
      <c r="B146" s="10" t="s">
        <v>236</v>
      </c>
      <c r="C146" s="10">
        <v>800</v>
      </c>
      <c r="D146" s="22">
        <f>50000</f>
        <v>50000</v>
      </c>
    </row>
    <row r="147" spans="1:4" ht="119.25" customHeight="1">
      <c r="A147" s="24" t="s">
        <v>269</v>
      </c>
      <c r="B147" s="10" t="s">
        <v>268</v>
      </c>
      <c r="C147" s="10">
        <v>800</v>
      </c>
      <c r="D147" s="22">
        <f>105000</f>
        <v>105000</v>
      </c>
    </row>
    <row r="148" spans="1:4" s="6" customFormat="1" ht="18.75">
      <c r="A148" s="38" t="s">
        <v>128</v>
      </c>
      <c r="B148" s="38"/>
      <c r="C148" s="38"/>
      <c r="D148" s="15">
        <f>D22+D40+D99+D109+D122+D128+D113</f>
        <v>173403091.70000002</v>
      </c>
    </row>
    <row r="149" spans="4:7" ht="18.75">
      <c r="D149" s="40" t="s">
        <v>255</v>
      </c>
      <c r="F149" s="41"/>
      <c r="G149" s="41"/>
    </row>
    <row r="150" spans="2:7" s="16" customFormat="1" ht="18.75">
      <c r="B150" s="42"/>
      <c r="C150" s="25"/>
      <c r="D150" s="41"/>
      <c r="F150" s="41"/>
      <c r="G150" s="41"/>
    </row>
    <row r="153" spans="1:4" s="16" customFormat="1" ht="18.75">
      <c r="A153" s="43"/>
      <c r="B153" s="42"/>
      <c r="C153" s="25"/>
      <c r="D153" s="41"/>
    </row>
    <row r="154" spans="1:4" s="16" customFormat="1" ht="18.75">
      <c r="A154" s="44"/>
      <c r="B154" s="42"/>
      <c r="C154" s="25"/>
      <c r="D154" s="41"/>
    </row>
    <row r="155" ht="18.75">
      <c r="D155" s="41"/>
    </row>
  </sheetData>
  <sheetProtection/>
  <mergeCells count="17">
    <mergeCell ref="A148:C148"/>
    <mergeCell ref="A18:D18"/>
    <mergeCell ref="A16:D16"/>
    <mergeCell ref="A10:D10"/>
    <mergeCell ref="A11:D11"/>
    <mergeCell ref="A12:D12"/>
    <mergeCell ref="A13:D13"/>
    <mergeCell ref="A14:D14"/>
    <mergeCell ref="A15:D15"/>
    <mergeCell ref="A7:D7"/>
    <mergeCell ref="A8:D8"/>
    <mergeCell ref="A1:D1"/>
    <mergeCell ref="A2:D2"/>
    <mergeCell ref="A3:D3"/>
    <mergeCell ref="A4:D4"/>
    <mergeCell ref="A5:D5"/>
    <mergeCell ref="A6:D6"/>
  </mergeCells>
  <printOptions/>
  <pageMargins left="0.984251968503937" right="0.3937007874015748" top="0.3937007874015748" bottom="0.3937007874015748" header="0" footer="0"/>
  <pageSetup fitToHeight="0" horizontalDpi="180" verticalDpi="18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2020-10-22T05:27:56Z</dcterms:modified>
  <cp:category/>
  <cp:version/>
  <cp:contentType/>
  <cp:contentStatus/>
</cp:coreProperties>
</file>