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ен на 2017 год" sheetId="1" r:id="rId1"/>
  </sheets>
  <definedNames>
    <definedName name="_xlnm.Print_Titles" localSheetId="0">'Прил.№6 Распределен на 2017 год'!#REF!</definedName>
  </definedNames>
  <calcPr calcId="152511"/>
</workbook>
</file>

<file path=xl/calcChain.xml><?xml version="1.0" encoding="utf-8"?>
<calcChain xmlns="http://schemas.openxmlformats.org/spreadsheetml/2006/main">
  <c r="D126" i="1" l="1"/>
  <c r="D129" i="1" l="1"/>
  <c r="D83" i="1" l="1"/>
  <c r="D317" i="1" l="1"/>
  <c r="D254" i="1" l="1"/>
  <c r="D325" i="1"/>
  <c r="D318" i="1" l="1"/>
  <c r="D278" i="1"/>
  <c r="D204" i="1"/>
  <c r="D203" i="1"/>
  <c r="D169" i="1"/>
  <c r="D145" i="1"/>
  <c r="D144" i="1"/>
  <c r="D143" i="1"/>
  <c r="D112" i="1"/>
  <c r="D80" i="1"/>
  <c r="D52" i="1"/>
  <c r="D37" i="1"/>
  <c r="D36" i="1"/>
  <c r="D35" i="1"/>
  <c r="D20" i="1"/>
  <c r="D18" i="1"/>
  <c r="D17" i="1"/>
  <c r="D215" i="1" l="1"/>
  <c r="D334" i="1" l="1"/>
  <c r="D308" i="1" l="1"/>
  <c r="D307" i="1"/>
  <c r="D304" i="1"/>
  <c r="D273" i="1"/>
  <c r="D257" i="1"/>
  <c r="D255" i="1"/>
  <c r="D158" i="1"/>
  <c r="D149" i="1"/>
  <c r="D65" i="1"/>
  <c r="D301" i="1" l="1"/>
  <c r="D300" i="1" s="1"/>
  <c r="D299" i="1" s="1"/>
  <c r="D199" i="1"/>
  <c r="D313" i="1" l="1"/>
  <c r="D315" i="1"/>
  <c r="D311" i="1"/>
  <c r="D229" i="1"/>
  <c r="D150" i="1"/>
  <c r="D82" i="1"/>
  <c r="D48" i="1"/>
  <c r="D47" i="1" s="1"/>
  <c r="D19" i="1" l="1"/>
  <c r="D103" i="1" l="1"/>
  <c r="D274" i="1" l="1"/>
  <c r="D270" i="1"/>
  <c r="D176" i="1" l="1"/>
  <c r="D253" i="1" l="1"/>
  <c r="D327" i="1" l="1"/>
  <c r="D258" i="1"/>
  <c r="D187" i="1"/>
  <c r="D125" i="1"/>
  <c r="D115" i="1"/>
  <c r="D46" i="1"/>
  <c r="D45" i="1"/>
  <c r="D100" i="1" l="1"/>
  <c r="D235" i="1" l="1"/>
  <c r="D220" i="1"/>
  <c r="D214" i="1"/>
  <c r="D181" i="1"/>
  <c r="D180" i="1" s="1"/>
  <c r="D179" i="1"/>
  <c r="D178" i="1" s="1"/>
  <c r="D79" i="1"/>
  <c r="D76" i="1"/>
  <c r="D75" i="1"/>
  <c r="D34" i="1"/>
  <c r="D269" i="1" l="1"/>
  <c r="D118" i="1"/>
  <c r="D111" i="1"/>
  <c r="D173" i="1" l="1"/>
  <c r="D161" i="1"/>
  <c r="D193" i="1" l="1"/>
  <c r="D139" i="1" l="1"/>
  <c r="D117" i="1"/>
  <c r="D96" i="1"/>
  <c r="D95" i="1"/>
  <c r="D94" i="1"/>
  <c r="D309" i="1" l="1"/>
  <c r="D247" i="1"/>
  <c r="D246" i="1"/>
  <c r="D192" i="1"/>
  <c r="D190" i="1" s="1"/>
  <c r="D189" i="1" s="1"/>
  <c r="D110" i="1"/>
  <c r="D188" i="1" l="1"/>
  <c r="D184" i="1" s="1"/>
  <c r="D297" i="1"/>
  <c r="D293" i="1"/>
  <c r="D266" i="1"/>
  <c r="D264" i="1" s="1"/>
  <c r="D160" i="1"/>
  <c r="D223" i="1" l="1"/>
  <c r="D222" i="1" s="1"/>
  <c r="D198" i="1" l="1"/>
  <c r="D197" i="1" s="1"/>
  <c r="D298" i="1" l="1"/>
  <c r="D294" i="1"/>
  <c r="D172" i="1" l="1"/>
  <c r="D243" i="1"/>
  <c r="D296" i="1" l="1"/>
  <c r="D245" i="1"/>
  <c r="D244" i="1" s="1"/>
  <c r="D153" i="1"/>
  <c r="D42" i="1"/>
  <c r="D328" i="1" l="1"/>
  <c r="D316" i="1" s="1"/>
  <c r="D292" i="1"/>
  <c r="D155" i="1"/>
  <c r="D154" i="1" s="1"/>
  <c r="D148" i="1"/>
  <c r="D124" i="1"/>
  <c r="D122" i="1"/>
  <c r="D59" i="1"/>
  <c r="D58" i="1"/>
  <c r="D38" i="1"/>
  <c r="D24" i="1"/>
  <c r="D22" i="1"/>
  <c r="D305" i="1" l="1"/>
  <c r="D57" i="1"/>
  <c r="D92" i="1" l="1"/>
  <c r="D41" i="1"/>
  <c r="D138" i="1" l="1"/>
  <c r="D93" i="1"/>
  <c r="D91" i="1" l="1"/>
  <c r="D137" i="1"/>
  <c r="D219" i="1" l="1"/>
  <c r="D63" i="1" l="1"/>
  <c r="D252" i="1" l="1"/>
  <c r="D55" i="1" l="1"/>
  <c r="D33" i="1"/>
  <c r="D32" i="1" s="1"/>
  <c r="D28" i="1"/>
  <c r="D16" i="1"/>
  <c r="D232" i="1" l="1"/>
  <c r="D208" i="1"/>
  <c r="D207" i="1" s="1"/>
  <c r="D99" i="1" l="1"/>
  <c r="D51" i="1"/>
  <c r="D295" i="1" l="1"/>
  <c r="D291" i="1"/>
  <c r="D288" i="1"/>
  <c r="D287" i="1" s="1"/>
  <c r="D250" i="1"/>
  <c r="D256" i="1"/>
  <c r="D259" i="1"/>
  <c r="D263" i="1"/>
  <c r="D268" i="1"/>
  <c r="D272" i="1"/>
  <c r="D228" i="1"/>
  <c r="D227" i="1" s="1"/>
  <c r="D226" i="1" s="1"/>
  <c r="D218" i="1"/>
  <c r="D183" i="1"/>
  <c r="D195" i="1"/>
  <c r="D168" i="1"/>
  <c r="D167" i="1" s="1"/>
  <c r="D165" i="1"/>
  <c r="D164" i="1" s="1"/>
  <c r="D159" i="1"/>
  <c r="D152" i="1"/>
  <c r="D142" i="1"/>
  <c r="D136" i="1"/>
  <c r="D123" i="1"/>
  <c r="D121" i="1"/>
  <c r="D116" i="1" l="1"/>
  <c r="D267" i="1"/>
  <c r="D249" i="1"/>
  <c r="D182" i="1"/>
  <c r="D290" i="1"/>
  <c r="D286" i="1"/>
  <c r="D151" i="1"/>
  <c r="D171" i="1"/>
  <c r="D141" i="1"/>
  <c r="D140" i="1" l="1"/>
  <c r="D248" i="1"/>
  <c r="D134" i="1"/>
  <c r="D128" i="1" s="1"/>
  <c r="D87" i="1"/>
  <c r="D98" i="1"/>
  <c r="D105" i="1"/>
  <c r="D74" i="1" l="1"/>
  <c r="D73" i="1" s="1"/>
  <c r="D70" i="1"/>
  <c r="D69" i="1" s="1"/>
  <c r="D242" i="1"/>
  <c r="D241" i="1" s="1"/>
  <c r="D213" i="1"/>
  <c r="D114" i="1"/>
  <c r="D113" i="1" s="1"/>
  <c r="D109" i="1"/>
  <c r="D104" i="1"/>
  <c r="D88" i="1"/>
  <c r="D60" i="1"/>
  <c r="D86" i="1" l="1"/>
  <c r="D206" i="1"/>
  <c r="D277" i="1"/>
  <c r="D276" i="1" s="1"/>
  <c r="D54" i="1"/>
  <c r="D25" i="1"/>
  <c r="D78" i="1"/>
  <c r="D77" i="1" s="1"/>
  <c r="D50" i="1"/>
  <c r="D281" i="1"/>
  <c r="D280" i="1" s="1"/>
  <c r="D62" i="1"/>
  <c r="D15" i="1" l="1"/>
  <c r="D14" i="1" s="1"/>
  <c r="D275" i="1"/>
  <c r="D231" i="1"/>
  <c r="D230" i="1" s="1"/>
  <c r="D335" i="1" l="1"/>
</calcChain>
</file>

<file path=xl/sharedStrings.xml><?xml version="1.0" encoding="utf-8"?>
<sst xmlns="http://schemas.openxmlformats.org/spreadsheetml/2006/main" count="654" uniqueCount="608">
  <si>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</si>
  <si>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</si>
  <si>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</si>
  <si>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</si>
  <si>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</si>
  <si>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</si>
  <si>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</si>
  <si>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</si>
  <si>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</si>
  <si>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</si>
  <si>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</si>
  <si>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</si>
  <si>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</si>
  <si>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</si>
  <si>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</si>
  <si>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</si>
  <si>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Основное мероприятие "Содействие развитию общего образования"</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</si>
  <si>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</si>
  <si>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</si>
  <si>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</si>
  <si>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</si>
  <si>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</si>
  <si>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</si>
  <si>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</si>
  <si>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</si>
  <si>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</si>
  <si>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</si>
  <si>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</si>
  <si>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</si>
  <si>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</si>
  <si>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</si>
  <si>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</si>
  <si>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</si>
  <si>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</si>
  <si>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</si>
  <si>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</si>
  <si>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</si>
  <si>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</si>
  <si>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</si>
  <si>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01 7 00 00000</t>
  </si>
  <si>
    <t>Подпрограмма "Организация временного трудоустройства несовершеннолетних граждан в возрасте от 14 до 18 лет в свободное от учебы время"</t>
  </si>
  <si>
    <t>Основное мероприятие "Реализация мероприятий по содействию занятости"</t>
  </si>
  <si>
    <t>01 7 01 20080</t>
  </si>
  <si>
    <t>01 8 00 00000</t>
  </si>
  <si>
    <t>01 8 01 00000</t>
  </si>
  <si>
    <t>01 8 01 00090</t>
  </si>
  <si>
    <t>02 0 00 00000</t>
  </si>
  <si>
    <t>02 1 00 00000</t>
  </si>
  <si>
    <t>02 1 01 00000</t>
  </si>
  <si>
    <t>Основное мероприятие "Строительство и реконструкция автомобильных дорог общего пользования Южского муниципального района муниципального значения"</t>
  </si>
  <si>
    <t>02 1 01 20790</t>
  </si>
  <si>
    <t>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t>
  </si>
  <si>
    <t>02 1 01 40070</t>
  </si>
  <si>
    <t xml:space="preserve">Строительство моста через р.Теза на автомобильной дороге Хотимль-Емельяново Южского района Ивановской области </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</si>
  <si>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</si>
  <si>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</si>
  <si>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</si>
  <si>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</si>
  <si>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</si>
  <si>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</si>
  <si>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</si>
  <si>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</si>
  <si>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</si>
  <si>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02 6 01 70070</t>
  </si>
  <si>
    <t xml:space="preserve">Предоставление за счет средств бюджета Южского муниципального района дополнительной субсидии в размере 5 процентов расчетной стоимости жилья </t>
  </si>
  <si>
    <t>02 6 01 80280</t>
  </si>
  <si>
    <t>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</si>
  <si>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</si>
  <si>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</si>
  <si>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</si>
  <si>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</si>
  <si>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</si>
  <si>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</si>
  <si>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</si>
  <si>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</si>
  <si>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</si>
  <si>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</si>
  <si>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</si>
  <si>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</si>
  <si>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</si>
  <si>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</si>
  <si>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</si>
  <si>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</si>
  <si>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</si>
  <si>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</si>
  <si>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</si>
  <si>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</si>
  <si>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</si>
  <si>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</si>
  <si>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Подпрограмма "Библиотечный фонд- стратегический ресурс общества"</t>
  </si>
  <si>
    <t>03 3 01 00000</t>
  </si>
  <si>
    <t>Основное мероприятие "Формирование фондов библиотеки"</t>
  </si>
  <si>
    <t>03 3 01 20200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</si>
  <si>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</si>
  <si>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</si>
  <si>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</si>
  <si>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</si>
  <si>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</si>
  <si>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</si>
  <si>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</si>
  <si>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</si>
  <si>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</si>
  <si>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</si>
  <si>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</si>
  <si>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</si>
  <si>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</si>
  <si>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</si>
  <si>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</si>
  <si>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</si>
  <si>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</si>
  <si>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</si>
  <si>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</si>
  <si>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</si>
  <si>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</si>
  <si>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</si>
  <si>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</si>
  <si>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</si>
  <si>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</si>
  <si>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</si>
  <si>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</si>
  <si>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</si>
  <si>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</si>
  <si>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</si>
  <si>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</si>
  <si>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</si>
  <si>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</si>
  <si>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07 1 02 20480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</si>
  <si>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</si>
  <si>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</si>
  <si>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</si>
  <si>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</si>
  <si>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</si>
  <si>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</si>
  <si>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</si>
  <si>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</si>
  <si>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</si>
  <si>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</si>
  <si>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</si>
  <si>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</si>
  <si>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</si>
  <si>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</si>
  <si>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</si>
  <si>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</si>
  <si>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</si>
  <si>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</si>
  <si>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</si>
  <si>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</si>
  <si>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</si>
  <si>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</si>
  <si>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</si>
  <si>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</si>
  <si>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</si>
  <si>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</si>
  <si>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</si>
  <si>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</si>
  <si>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</si>
  <si>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</si>
  <si>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</si>
  <si>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</si>
  <si>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</si>
  <si>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</si>
  <si>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</si>
  <si>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</si>
  <si>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</si>
  <si>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31 9 00 00000</t>
  </si>
  <si>
    <t>31 9 00 00240</t>
  </si>
  <si>
    <t>Основное мероприятие "Обеспечение сохранения объектов культурного наследия"</t>
  </si>
  <si>
    <t>Наименование</t>
  </si>
  <si>
    <t>Целевая статья</t>
  </si>
  <si>
    <t>Вид рас-ходов</t>
  </si>
  <si>
    <t>Сумма, руб.</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</si>
  <si>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</si>
  <si>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</si>
  <si>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</si>
  <si>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</si>
  <si>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</si>
  <si>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</si>
  <si>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</si>
  <si>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</si>
  <si>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</si>
  <si>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</si>
  <si>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</si>
  <si>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</si>
  <si>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</si>
  <si>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</si>
  <si>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</si>
  <si>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</si>
  <si>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</si>
  <si>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</si>
  <si>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</si>
  <si>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</si>
  <si>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</si>
  <si>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</si>
  <si>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</si>
  <si>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</si>
  <si>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Проведение мероприятий среди молодежи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</si>
  <si>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</si>
  <si>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</si>
  <si>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</si>
  <si>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функционирования Контрольно-счетного органа Южского муниципального района (Иные бюджетные ассигнования)</t>
  </si>
  <si>
    <t>01 7 01 00000</t>
  </si>
  <si>
    <t>01 3 01 00320</t>
  </si>
  <si>
    <t>03 2 02 00330</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</si>
  <si>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</si>
  <si>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</si>
  <si>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</si>
  <si>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</si>
  <si>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</si>
  <si>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</si>
  <si>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</si>
  <si>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</si>
  <si>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</si>
  <si>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</si>
  <si>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</si>
  <si>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</si>
  <si>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</si>
  <si>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</si>
  <si>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</si>
  <si>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</si>
  <si>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</si>
  <si>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</si>
  <si>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</si>
  <si>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</si>
  <si>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</si>
  <si>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</si>
  <si>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</si>
  <si>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</si>
  <si>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</si>
  <si>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</si>
  <si>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</si>
  <si>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</si>
  <si>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</si>
  <si>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03 7 01 S1980</t>
  </si>
  <si>
    <r>
      <t xml:space="preserve">Основное мероприятие "Организация отдыха и оздоровления детей" </t>
    </r>
    <r>
      <rPr>
        <i/>
        <sz val="10"/>
        <rFont val="Times New Roman"/>
        <family val="1"/>
        <charset val="204"/>
      </rPr>
      <t/>
    </r>
  </si>
  <si>
    <t>период 2018 и 2019 годов"</t>
  </si>
  <si>
    <t xml:space="preserve">на 2017 год и на плановый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</si>
  <si>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</si>
  <si>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</si>
  <si>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</si>
  <si>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</si>
  <si>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</si>
  <si>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</si>
  <si>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</si>
  <si>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</si>
  <si>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</si>
  <si>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</si>
  <si>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</si>
  <si>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</si>
  <si>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</si>
  <si>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</si>
  <si>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</si>
  <si>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</si>
  <si>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</si>
  <si>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</si>
  <si>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</si>
  <si>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</si>
  <si>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</si>
  <si>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</si>
  <si>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</si>
  <si>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</si>
  <si>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</si>
  <si>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</si>
  <si>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</si>
  <si>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</si>
  <si>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</si>
  <si>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</si>
  <si>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</si>
  <si>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</si>
  <si>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</si>
  <si>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</si>
  <si>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</si>
  <si>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</si>
  <si>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"Содействие развитию учреждений культуры" </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</si>
  <si>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</si>
  <si>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</si>
  <si>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</si>
  <si>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</si>
  <si>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</si>
  <si>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</si>
  <si>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</si>
  <si>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</si>
  <si>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</si>
  <si>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</si>
  <si>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</si>
  <si>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</si>
  <si>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</si>
  <si>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</si>
  <si>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</si>
  <si>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</si>
  <si>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</si>
  <si>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</si>
  <si>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</si>
  <si>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</si>
  <si>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</si>
  <si>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</si>
  <si>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</si>
  <si>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</si>
  <si>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</si>
  <si>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</si>
  <si>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</si>
  <si>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</si>
  <si>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</si>
  <si>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</si>
  <si>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</si>
  <si>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</si>
  <si>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</si>
  <si>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</si>
  <si>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</si>
  <si>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r>
      <t xml:space="preserve">Всего: </t>
    </r>
    <r>
      <rPr>
        <i/>
        <sz val="10"/>
        <color rgb="FF002060"/>
        <rFont val="Times New Roman"/>
        <family val="1"/>
        <charset val="204"/>
      </rPr>
      <t/>
    </r>
  </si>
  <si>
    <t>Распределение бюджетных ассигнований бюджета Южского муниципального района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2017 год</t>
  </si>
  <si>
    <t xml:space="preserve">02 1 03 00000 </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</si>
  <si>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</si>
  <si>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02 2 01 21640</t>
  </si>
  <si>
    <t>Основное мероприятие "Обращение с отходами производства и потребления"</t>
  </si>
  <si>
    <t>02 Д 00 00000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</si>
  <si>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</si>
  <si>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</si>
  <si>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</si>
  <si>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</si>
  <si>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Основное мероприятие "Резервный фонд"</t>
  </si>
  <si>
    <t xml:space="preserve">02 Ж 03 00000 </t>
  </si>
  <si>
    <t xml:space="preserve">02 Ж 03 20150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</si>
  <si>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</si>
  <si>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03 7 01 21550</t>
  </si>
  <si>
    <t>03 Д 00 00000</t>
  </si>
  <si>
    <t>Основное мероприятие "Организация и проведение событийных мероприятий"</t>
  </si>
  <si>
    <t>03 Д 01 00000</t>
  </si>
  <si>
    <t>03 Д 01 21520</t>
  </si>
  <si>
    <t>Основное мероприятие "Сохранение и развитие самодеятельного театрального движения"</t>
  </si>
  <si>
    <t>03 Д 02 00000</t>
  </si>
  <si>
    <t>03 Д 02 21530</t>
  </si>
  <si>
    <t>Основное мероприятие "Содействие развитию музейно-выставочной деятельности"</t>
  </si>
  <si>
    <t>03 Д 03 00000</t>
  </si>
  <si>
    <t>03 Д 03 21190</t>
  </si>
  <si>
    <t>03 Д 04 00000</t>
  </si>
  <si>
    <t>03 Д 04 21230</t>
  </si>
  <si>
    <t>12 0 00 00000</t>
  </si>
  <si>
    <t>12 1 00 00000</t>
  </si>
  <si>
    <t>12 1 01 00000</t>
  </si>
  <si>
    <t>12 1 01 L0200</t>
  </si>
  <si>
    <t>12 2 00 00000</t>
  </si>
  <si>
    <t>12 2 01 00000</t>
  </si>
  <si>
    <t>12 2 01 S0280</t>
  </si>
  <si>
    <t xml:space="preserve">02 Д 03 00000 </t>
  </si>
  <si>
    <t xml:space="preserve">02 Д 03 21480 </t>
  </si>
  <si>
    <t xml:space="preserve">02 Д 05 00000 </t>
  </si>
  <si>
    <t>02 Д 05 21680</t>
  </si>
  <si>
    <t xml:space="preserve">02 Д 06 00000 </t>
  </si>
  <si>
    <t>02 Д 06 21690</t>
  </si>
  <si>
    <t xml:space="preserve">02 И 00 00000 </t>
  </si>
  <si>
    <t xml:space="preserve">02 И 01 00000 </t>
  </si>
  <si>
    <t xml:space="preserve">02 И 01 21670 </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</si>
  <si>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</si>
  <si>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</si>
  <si>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</si>
  <si>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</si>
  <si>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</si>
  <si>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</si>
  <si>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</si>
  <si>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</si>
  <si>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</si>
  <si>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04 8 00 00000</t>
  </si>
  <si>
    <t>Подпрограмма "Организация и проведение мероприятий по работе с детьми, подростками, молодёжью и молодыми семьями"</t>
  </si>
  <si>
    <t>Основное мероприятие "Организация и проведение мероприятий по работе с детьми и молодежью и молодыми семьями"</t>
  </si>
  <si>
    <t>04 8 01 00000</t>
  </si>
  <si>
    <t>04 8 01 20310</t>
  </si>
  <si>
    <t>04 8 01 20320</t>
  </si>
  <si>
    <t>04 8 01 20340</t>
  </si>
  <si>
    <t>04 8 01 20350</t>
  </si>
  <si>
    <t>05 1 01 60110</t>
  </si>
  <si>
    <t xml:space="preserve">05 1 01 60120 </t>
  </si>
  <si>
    <t xml:space="preserve">05 2 01 21580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</si>
  <si>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</si>
  <si>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</si>
  <si>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</si>
  <si>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</si>
  <si>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</si>
  <si>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</si>
  <si>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</si>
  <si>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</si>
  <si>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</si>
  <si>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 xml:space="preserve">08 4 01 21180 </t>
  </si>
  <si>
    <t xml:space="preserve">08 4 01 21280  </t>
  </si>
  <si>
    <t xml:space="preserve">08 4 01 21420 </t>
  </si>
  <si>
    <t>Основное мероприятие "Укрепление материально-      технической базы"</t>
  </si>
  <si>
    <t xml:space="preserve">08 4 03 00000 </t>
  </si>
  <si>
    <t xml:space="preserve">08 4 03 20630 </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</si>
  <si>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</si>
  <si>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</si>
  <si>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</si>
  <si>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</si>
  <si>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</si>
  <si>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31 9 00 66130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</si>
  <si>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</si>
  <si>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</si>
  <si>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Резервный фонд администрации Южского муниципального района (Иные бюджетные ассигнования)</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</si>
  <si>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</si>
  <si>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</si>
  <si>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</si>
  <si>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</si>
  <si>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</si>
  <si>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</si>
  <si>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</si>
  <si>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Активизация издательской деятельности музеев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</si>
  <si>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</si>
  <si>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</si>
  <si>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</si>
  <si>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</si>
  <si>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</si>
  <si>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</si>
  <si>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</si>
  <si>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</si>
  <si>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</si>
  <si>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</si>
  <si>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Проведение комплексных кадастровых работ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</si>
  <si>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</si>
  <si>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</si>
  <si>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</si>
  <si>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</si>
  <si>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</si>
  <si>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</si>
  <si>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</si>
  <si>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</si>
  <si>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</si>
  <si>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05 3 01 21730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</si>
  <si>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</si>
  <si>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</si>
  <si>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Исполнение судебных актов, оплата судебных издержек по ним  (Иные бюджетные ассигнования) </t>
  </si>
  <si>
    <t xml:space="preserve">31 9 00 90040 </t>
  </si>
  <si>
    <t>Подпрограмма "Организация предоставления дополнительного образования детям"</t>
  </si>
  <si>
    <t>Основное мероприятие "Реализация программ дополнительного образования детей"</t>
  </si>
  <si>
    <t xml:space="preserve">11 1 02 21630 </t>
  </si>
  <si>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</si>
  <si>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r>
      <t>04 8 01 00380</t>
    </r>
    <r>
      <rPr>
        <i/>
        <sz val="14"/>
        <color theme="1"/>
        <rFont val="Times New Roman"/>
        <family val="1"/>
        <charset val="204"/>
      </rPr>
      <t xml:space="preserve"> </t>
    </r>
  </si>
  <si>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</si>
  <si>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</si>
  <si>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</si>
  <si>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Основное мероприятие "Оплата услуг по заполнению формы федерального статистического наблюдения"</t>
  </si>
  <si>
    <t>Основное мероприятие "Снос аварийных жилых домов"</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</si>
  <si>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</si>
  <si>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</si>
  <si>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Основное мероприятие "Организация содержания муниципального жилищного фонда в поселениях"</t>
  </si>
  <si>
    <t>02 Д 07 00000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</si>
  <si>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</si>
  <si>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</si>
  <si>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</si>
  <si>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</si>
  <si>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02 Д 07 21750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</si>
  <si>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</si>
  <si>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</si>
  <si>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</si>
  <si>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</si>
  <si>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</si>
  <si>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</si>
  <si>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</si>
  <si>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</si>
  <si>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</si>
  <si>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</si>
  <si>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</si>
  <si>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</si>
  <si>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</si>
  <si>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</si>
  <si>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02 1 03 21780</t>
  </si>
  <si>
    <t>02 1 03 21790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</si>
  <si>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</si>
  <si>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</si>
  <si>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</si>
  <si>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</si>
  <si>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</si>
  <si>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И 01 21820</t>
  </si>
  <si>
    <t>Подпрограмма "Реализация мероприятий направленных на вовлечение населения в культурную жизнь района"</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</si>
  <si>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</si>
  <si>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</si>
  <si>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</si>
  <si>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Основное мероприятие "Финансовое обеспечение деятельности структурных подразделений Отдела образования администрации Южского муниципального района"</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</si>
  <si>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r>
      <rPr>
        <sz val="14"/>
        <rFont val="Times New Roman"/>
        <family val="1"/>
        <charset val="204"/>
      </rPr>
      <t xml:space="preserve">  
</t>
    </r>
  </si>
  <si>
    <t>02 1 03 10030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</si>
  <si>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</si>
  <si>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</si>
  <si>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</si>
  <si>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</si>
  <si>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</si>
  <si>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</si>
  <si>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r>
    <r>
      <rPr>
        <i/>
        <sz val="10"/>
        <color rgb="FF002060"/>
        <rFont val="Times New Roman"/>
        <family val="1"/>
        <charset val="204"/>
      </rPr>
      <t/>
    </r>
  </si>
  <si>
    <r>
      <t>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t>
    </r>
    <r>
      <rPr>
        <sz val="14"/>
        <color theme="1"/>
        <rFont val="Times New Roman"/>
        <family val="1"/>
        <charset val="204"/>
      </rPr>
      <t xml:space="preserve"> </t>
    </r>
  </si>
  <si>
    <t xml:space="preserve">Подпрограмма "Сезонная уборка территорий сельских поселений Южского муниципального района" </t>
  </si>
  <si>
    <t xml:space="preserve">Основное мероприятие "Мероприятия по содержанию территорий сельских поселений"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</si>
  <si>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</si>
  <si>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</si>
  <si>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 </t>
  </si>
  <si>
    <t xml:space="preserve">Основное мероприятие "Организация в границах поселений водоснабжения населения"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</si>
  <si>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</si>
  <si>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01 2 02 21650</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</si>
  <si>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</si>
  <si>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</si>
  <si>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</si>
  <si>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</si>
  <si>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</si>
  <si>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</si>
  <si>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</si>
  <si>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</si>
  <si>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31 9 00 10050</t>
  </si>
  <si>
    <t>02 Ж 01 21840</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</si>
  <si>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</si>
  <si>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</si>
  <si>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</si>
  <si>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</si>
  <si>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</si>
  <si>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</si>
  <si>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2 02 S1430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</si>
  <si>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</si>
  <si>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</si>
  <si>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</si>
  <si>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</si>
  <si>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</si>
  <si>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</si>
  <si>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</si>
  <si>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</si>
  <si>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</si>
  <si>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</si>
  <si>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</si>
  <si>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</si>
  <si>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12 1 01 R0200</t>
  </si>
  <si>
    <t>Основное мероприятие "Укрепление материально-технической базы общеобразовательных организаций Южского муниципального района"</t>
  </si>
  <si>
    <t>01 2 03 00000</t>
  </si>
  <si>
    <t>Проведение спортивно-оздоровительных и спортивно-массовых мероприятий среди населения района (Иные бюджетные ассигнования)</t>
  </si>
  <si>
    <t>Подпрограмма "Поддержка инвалидов и ветеранов Великой Отечественной войны, не имеющих оснований для обеспечения жильем, в соответствии с Федеральным законом от 12.01.1995 № 5-ФЗ "О ветеранах""</t>
  </si>
  <si>
    <t>07 6 00 00000</t>
  </si>
  <si>
    <t>07 6 01 00000</t>
  </si>
  <si>
    <t>07 6 01 21870</t>
  </si>
  <si>
    <t>07 6 01 21880</t>
  </si>
  <si>
    <t>08 2 01 82910</t>
  </si>
  <si>
    <t>08 2 01 S2910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</si>
  <si>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</si>
  <si>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</si>
  <si>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12 2 01 80280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</si>
  <si>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</si>
  <si>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</si>
  <si>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</si>
  <si>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</si>
  <si>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03 Д 01 21890</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</si>
  <si>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</si>
  <si>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03 Д 01 21900</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</si>
  <si>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</si>
  <si>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</si>
  <si>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</si>
  <si>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</si>
  <si>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</si>
  <si>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03 3 01 R5191</t>
  </si>
  <si>
    <t>03 3 01 L5191</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</si>
  <si>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</si>
  <si>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</si>
  <si>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</si>
  <si>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 xml:space="preserve">02 7 01 21920 </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</si>
  <si>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</si>
  <si>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</si>
  <si>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</si>
  <si>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</si>
  <si>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31 9 00 21390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</si>
  <si>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</si>
  <si>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03 21940</t>
  </si>
  <si>
    <t xml:space="preserve">Разработка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</si>
  <si>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01 2 03 21950</t>
  </si>
  <si>
    <t xml:space="preserve">Проведение спортивно-оздоровительных и спортивно-массовых мероприятий среди населения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</si>
  <si>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Разработка карт (планов) объектов землеустройства  (Закупка товаров, работ и услуг для обеспечения государственных (муниципальных) нужд) </t>
  </si>
  <si>
    <t>05 2 01 21960</t>
  </si>
  <si>
    <t>07 1 02 21970</t>
  </si>
  <si>
    <t>Обеспечение доступности услуг в сфере образования для детей-инвалидов (Предоставление субсидий бюджетным, автономным учреждениям и иным некоммерческим организациям)</t>
  </si>
  <si>
    <t xml:space="preserve">Основное мероприятие "Мероприятия по проведению ремонта жилых помещений, в которых проживают инвалиды и ветераны Великой Отечественной войны или замена (приобретение) бытового и сантехнического оборудования в помещениях, занимаемых инвалидами и ветеранами Великой Отечественной войны"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</si>
  <si>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</si>
  <si>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</si>
  <si>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Обеспечение доступности услуг в сфере образования для детей-инвалидов  (Закупка товаров, работ и услуг для обеспечения государственных (муниципальных) нужд)</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</si>
  <si>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</si>
  <si>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</si>
  <si>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01 9 00 00000</t>
  </si>
  <si>
    <t>01 9 01 00000</t>
  </si>
  <si>
    <t>01 9 01 S2700</t>
  </si>
  <si>
    <t>Основное мероприятие "Развитие кадрового потенциала системы образования"</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</si>
  <si>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</si>
  <si>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</si>
  <si>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</si>
  <si>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</si>
  <si>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</si>
  <si>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13 1 01 00000</t>
  </si>
  <si>
    <t>Основное мероприятие "Совершенствование охраны труда в муниципальных учреждениях"</t>
  </si>
  <si>
    <t xml:space="preserve">13 1 01 21990 </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</si>
  <si>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</si>
  <si>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</si>
  <si>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 xml:space="preserve">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 </t>
  </si>
  <si>
    <t>13 1 01 22000</t>
  </si>
  <si>
    <t>13 1 01 22010</t>
  </si>
  <si>
    <t xml:space="preserve">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</si>
  <si>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</si>
  <si>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</si>
  <si>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</si>
  <si>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</si>
  <si>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</si>
  <si>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 xml:space="preserve">Организация новогодних мероприятий учреждениями дополнительного образования в сфере культуры (Предоставление субсидий бюджетным, автономным учреждениям и иным некоммерческим организациям)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</si>
  <si>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</si>
  <si>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</si>
  <si>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31 9 00 22050</t>
  </si>
  <si>
    <t>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(Предоставление субсидий бюджетным, автономным учреждениям и иным некоммерческим организациям)</t>
  </si>
  <si>
    <t>02 Ж 01 22070</t>
  </si>
  <si>
    <t>02 Ж 01 22080</t>
  </si>
  <si>
    <t xml:space="preserve">Организация лодочной переправы на период половодья в декабре 2017 года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</si>
  <si>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половодья в декабре 2017 года в сельских поселениях Южского муниципального района  (Закупка товаров, работ и услуг для обеспечения государственных (муниципальных) нужд) </t>
  </si>
  <si>
    <t>Приложение № 6</t>
  </si>
  <si>
    <t>(приложение изложено в новой редакции в соответствии с решением Совета Южского муниципального района от 19.12.2017 № 130)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</si>
</sst>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р_."/>
  </numFmts>
  <fonts count="14"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u/>
      <sz val="14"/>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sz val="14"/>
      <color rgb="FF000000"/>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2">
    <xf numFmtId="0" fontId="0" fillId="0" borderId="0" xfId="0"/>
    <xf numFmtId="0" fontId="2" fillId="0" borderId="0" xfId="0" applyFont="1" applyFill="1"/>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0" borderId="0" xfId="0" applyFont="1" applyFill="1"/>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49" fontId="2" fillId="0" borderId="0" xfId="0" applyNumberFormat="1" applyFont="1" applyFill="1"/>
    <xf numFmtId="49" fontId="1" fillId="0" borderId="0" xfId="0" applyNumberFormat="1" applyFont="1" applyFill="1"/>
    <xf numFmtId="49" fontId="3" fillId="0" borderId="0" xfId="0" applyNumberFormat="1" applyFont="1" applyFill="1"/>
    <xf numFmtId="4" fontId="1" fillId="0" borderId="0" xfId="0" applyNumberFormat="1" applyFont="1" applyFill="1" applyAlignment="1">
      <alignment horizontal="right" vertical="top"/>
    </xf>
    <xf numFmtId="0" fontId="4" fillId="0" borderId="0" xfId="0" applyFont="1" applyFill="1" applyAlignment="1">
      <alignment horizontal="right"/>
    </xf>
    <xf numFmtId="4" fontId="1" fillId="0" borderId="0" xfId="0" applyNumberFormat="1" applyFont="1" applyFill="1"/>
    <xf numFmtId="4" fontId="2" fillId="0" borderId="0" xfId="0" applyNumberFormat="1" applyFont="1" applyFill="1"/>
    <xf numFmtId="2" fontId="3" fillId="0" borderId="0" xfId="0" applyNumberFormat="1" applyFont="1" applyFill="1"/>
    <xf numFmtId="2" fontId="2" fillId="0" borderId="0" xfId="0" applyNumberFormat="1" applyFont="1" applyFill="1"/>
    <xf numFmtId="2" fontId="1" fillId="0" borderId="0" xfId="0" applyNumberFormat="1" applyFont="1" applyFill="1"/>
    <xf numFmtId="165" fontId="3" fillId="0" borderId="0" xfId="0" applyNumberFormat="1" applyFont="1" applyFill="1"/>
    <xf numFmtId="0" fontId="2" fillId="0" borderId="0" xfId="0" applyFont="1" applyFill="1" applyAlignment="1">
      <alignment wrapText="1"/>
    </xf>
    <xf numFmtId="0" fontId="13" fillId="0" borderId="0" xfId="0" applyFont="1" applyFill="1"/>
    <xf numFmtId="164" fontId="2" fillId="0" borderId="0" xfId="0" applyNumberFormat="1" applyFont="1" applyFill="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right"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right" vertical="center"/>
    </xf>
    <xf numFmtId="0" fontId="10" fillId="2" borderId="1" xfId="0" applyFont="1" applyFill="1" applyBorder="1" applyAlignment="1">
      <alignment horizontal="justify" vertical="top"/>
    </xf>
    <xf numFmtId="0" fontId="10" fillId="2" borderId="1" xfId="0" applyFont="1" applyFill="1" applyBorder="1" applyAlignment="1">
      <alignment horizontal="center" vertical="center"/>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right" vertical="center"/>
    </xf>
    <xf numFmtId="0" fontId="10"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8" fillId="2" borderId="1" xfId="0" applyFont="1" applyFill="1" applyBorder="1" applyAlignment="1">
      <alignment horizontal="left" vertical="top" wrapText="1"/>
    </xf>
    <xf numFmtId="0" fontId="9" fillId="2" borderId="1" xfId="0" applyFont="1" applyFill="1" applyBorder="1" applyAlignment="1">
      <alignment horizontal="justify" vertical="top" wrapText="1"/>
    </xf>
    <xf numFmtId="49" fontId="10" fillId="2" borderId="1" xfId="0" applyNumberFormat="1" applyFont="1" applyFill="1" applyBorder="1" applyAlignment="1">
      <alignment horizontal="center" vertical="center"/>
    </xf>
    <xf numFmtId="0" fontId="8" fillId="2" borderId="1" xfId="0" applyFont="1" applyFill="1" applyBorder="1" applyAlignment="1">
      <alignment horizontal="justify" vertical="top" wrapText="1"/>
    </xf>
    <xf numFmtId="0" fontId="9" fillId="2" borderId="1" xfId="0" applyFont="1" applyFill="1" applyBorder="1" applyAlignment="1">
      <alignment horizontal="justify" vertical="center"/>
    </xf>
    <xf numFmtId="4" fontId="9" fillId="2" borderId="1" xfId="0" applyNumberFormat="1" applyFont="1" applyFill="1" applyBorder="1" applyAlignment="1">
      <alignment horizontal="justify" vertical="top" wrapText="1"/>
    </xf>
    <xf numFmtId="0" fontId="9" fillId="2" borderId="1" xfId="0" applyFont="1" applyFill="1" applyBorder="1" applyAlignment="1">
      <alignment vertical="top"/>
    </xf>
    <xf numFmtId="0" fontId="8" fillId="2" borderId="1" xfId="0" applyNumberFormat="1" applyFont="1" applyFill="1" applyBorder="1" applyAlignment="1">
      <alignment horizontal="justify" vertical="top" wrapText="1"/>
    </xf>
    <xf numFmtId="0" fontId="2" fillId="2" borderId="1" xfId="0" applyFont="1" applyFill="1" applyBorder="1" applyAlignment="1">
      <alignment horizontal="justify" vertical="top"/>
    </xf>
    <xf numFmtId="0" fontId="12" fillId="2" borderId="1" xfId="0" applyFont="1" applyFill="1" applyBorder="1" applyAlignment="1">
      <alignment horizontal="justify" vertical="top" wrapText="1"/>
    </xf>
    <xf numFmtId="2" fontId="10" fillId="2" borderId="1" xfId="0" applyNumberFormat="1" applyFont="1" applyFill="1" applyBorder="1" applyAlignment="1">
      <alignment horizontal="justify" vertical="top" wrapText="1"/>
    </xf>
    <xf numFmtId="0" fontId="2" fillId="2" borderId="0" xfId="0" applyFont="1" applyFill="1"/>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2" fillId="2" borderId="0" xfId="0" applyFont="1" applyFill="1" applyAlignment="1">
      <alignment horizontal="right"/>
    </xf>
    <xf numFmtId="0" fontId="8" fillId="2" borderId="0" xfId="0" applyFont="1" applyFill="1" applyAlignment="1">
      <alignment horizontal="justify" vertical="top" wrapText="1"/>
    </xf>
    <xf numFmtId="0" fontId="2" fillId="2" borderId="0" xfId="0" applyFont="1" applyFill="1" applyAlignment="1">
      <alignment horizontal="right"/>
    </xf>
    <xf numFmtId="0" fontId="1" fillId="2" borderId="1" xfId="0" applyFont="1" applyFill="1" applyBorder="1" applyAlignment="1">
      <alignment horizontal="left" vertical="center" wrapText="1"/>
    </xf>
    <xf numFmtId="0" fontId="6" fillId="2" borderId="2" xfId="0" applyFont="1" applyFill="1" applyBorder="1" applyAlignment="1">
      <alignment horizontal="center" vertical="top" wrapText="1"/>
    </xf>
    <xf numFmtId="0" fontId="2" fillId="2" borderId="0" xfId="0" applyFont="1" applyFill="1" applyAlignment="1">
      <alignment horizontal="right" vertical="center"/>
    </xf>
    <xf numFmtId="0" fontId="1" fillId="2" borderId="0" xfId="0" applyFont="1" applyFill="1" applyAlignment="1">
      <alignment horizontal="center" vertical="top" wrapText="1"/>
    </xf>
    <xf numFmtId="0" fontId="2" fillId="2" borderId="0" xfId="0" applyFont="1" applyFill="1" applyAlignment="1">
      <alignment horizontal="righ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7"/>
  <sheetViews>
    <sheetView tabSelected="1" topLeftCell="A333" zoomScale="90" zoomScaleNormal="90" workbookViewId="0">
      <selection activeCell="D336" sqref="D336"/>
    </sheetView>
  </sheetViews>
  <sheetFormatPr defaultRowHeight="18.75" x14ac:dyDescent="0.3"/>
  <cols>
    <col min="1" max="1" width="62.5703125" style="1" customWidth="1"/>
    <col min="2" max="2" width="18.7109375" style="1" customWidth="1"/>
    <col min="3" max="3" width="8.85546875" style="2" customWidth="1"/>
    <col min="4" max="4" width="20.85546875" style="3" customWidth="1"/>
    <col min="5" max="5" width="16.42578125" style="1" bestFit="1" customWidth="1"/>
    <col min="6" max="6" width="23.42578125" style="10" customWidth="1"/>
    <col min="7" max="7" width="16" style="1" bestFit="1" customWidth="1"/>
    <col min="8" max="8" width="19.5703125" style="1" bestFit="1" customWidth="1"/>
    <col min="9" max="9" width="16" style="1" bestFit="1" customWidth="1"/>
    <col min="10" max="16384" width="9.140625" style="1"/>
  </cols>
  <sheetData>
    <row r="1" spans="1:6" ht="18" customHeight="1" x14ac:dyDescent="0.3">
      <c r="A1" s="50"/>
      <c r="B1" s="59" t="s">
        <v>606</v>
      </c>
      <c r="C1" s="59"/>
      <c r="D1" s="59"/>
    </row>
    <row r="2" spans="1:6" x14ac:dyDescent="0.3">
      <c r="A2" s="50"/>
      <c r="B2" s="59" t="s">
        <v>171</v>
      </c>
      <c r="C2" s="59"/>
      <c r="D2" s="59"/>
    </row>
    <row r="3" spans="1:6" x14ac:dyDescent="0.3">
      <c r="A3" s="50"/>
      <c r="B3" s="59" t="s">
        <v>172</v>
      </c>
      <c r="C3" s="59"/>
      <c r="D3" s="59"/>
    </row>
    <row r="4" spans="1:6" x14ac:dyDescent="0.3">
      <c r="A4" s="50"/>
      <c r="B4" s="56" t="s">
        <v>173</v>
      </c>
      <c r="C4" s="56"/>
      <c r="D4" s="56"/>
    </row>
    <row r="5" spans="1:6" x14ac:dyDescent="0.3">
      <c r="A5" s="50"/>
      <c r="B5" s="56" t="s">
        <v>174</v>
      </c>
      <c r="C5" s="56"/>
      <c r="D5" s="56"/>
    </row>
    <row r="6" spans="1:6" x14ac:dyDescent="0.3">
      <c r="A6" s="50"/>
      <c r="B6" s="54"/>
      <c r="C6" s="54"/>
      <c r="D6" s="54" t="s">
        <v>235</v>
      </c>
    </row>
    <row r="7" spans="1:6" x14ac:dyDescent="0.3">
      <c r="A7" s="50"/>
      <c r="B7" s="56" t="s">
        <v>234</v>
      </c>
      <c r="C7" s="56"/>
      <c r="D7" s="56"/>
    </row>
    <row r="8" spans="1:6" x14ac:dyDescent="0.3">
      <c r="A8" s="50"/>
      <c r="B8" s="61" t="s">
        <v>475</v>
      </c>
      <c r="C8" s="56"/>
      <c r="D8" s="56"/>
    </row>
    <row r="9" spans="1:6" ht="14.25" customHeight="1" x14ac:dyDescent="0.3">
      <c r="A9" s="50"/>
      <c r="B9" s="50"/>
      <c r="C9" s="59"/>
      <c r="D9" s="59"/>
    </row>
    <row r="10" spans="1:6" ht="141.75" customHeight="1" x14ac:dyDescent="0.3">
      <c r="A10" s="60" t="s">
        <v>309</v>
      </c>
      <c r="B10" s="60"/>
      <c r="C10" s="60"/>
      <c r="D10" s="60"/>
    </row>
    <row r="11" spans="1:6" ht="33.75" customHeight="1" x14ac:dyDescent="0.3">
      <c r="A11" s="58" t="s">
        <v>607</v>
      </c>
      <c r="B11" s="58"/>
      <c r="C11" s="58"/>
      <c r="D11" s="58"/>
    </row>
    <row r="12" spans="1:6" ht="56.25" customHeight="1" x14ac:dyDescent="0.3">
      <c r="A12" s="51" t="s">
        <v>167</v>
      </c>
      <c r="B12" s="51" t="s">
        <v>168</v>
      </c>
      <c r="C12" s="51" t="s">
        <v>169</v>
      </c>
      <c r="D12" s="52" t="s">
        <v>170</v>
      </c>
    </row>
    <row r="13" spans="1:6" ht="21" customHeight="1" x14ac:dyDescent="0.3">
      <c r="A13" s="53">
        <v>1</v>
      </c>
      <c r="B13" s="53">
        <v>2</v>
      </c>
      <c r="C13" s="53">
        <v>3</v>
      </c>
      <c r="D13" s="53">
        <v>4</v>
      </c>
    </row>
    <row r="14" spans="1:6" s="5" customFormat="1" ht="66.75" customHeight="1" x14ac:dyDescent="0.3">
      <c r="A14" s="25" t="s">
        <v>236</v>
      </c>
      <c r="B14" s="24" t="s">
        <v>0</v>
      </c>
      <c r="C14" s="26"/>
      <c r="D14" s="27">
        <f>D15+D32+D50+D54+D62+D69+D73+D77+D82</f>
        <v>185985609.26000002</v>
      </c>
      <c r="F14" s="11"/>
    </row>
    <row r="15" spans="1:6" s="5" customFormat="1" ht="105" customHeight="1" x14ac:dyDescent="0.3">
      <c r="A15" s="25" t="s">
        <v>237</v>
      </c>
      <c r="B15" s="24" t="s">
        <v>1</v>
      </c>
      <c r="C15" s="26"/>
      <c r="D15" s="27">
        <f>D16+D25+D28</f>
        <v>65713699.880000003</v>
      </c>
      <c r="F15" s="11"/>
    </row>
    <row r="16" spans="1:6" s="4" customFormat="1" ht="37.5" x14ac:dyDescent="0.3">
      <c r="A16" s="28" t="s">
        <v>238</v>
      </c>
      <c r="B16" s="29" t="s">
        <v>2</v>
      </c>
      <c r="C16" s="30"/>
      <c r="D16" s="31">
        <f>SUM(D17:D24)</f>
        <v>63094796.75</v>
      </c>
      <c r="F16" s="12"/>
    </row>
    <row r="17" spans="1:6" ht="165" customHeight="1" x14ac:dyDescent="0.3">
      <c r="A17" s="32" t="s">
        <v>239</v>
      </c>
      <c r="B17" s="33" t="s">
        <v>3</v>
      </c>
      <c r="C17" s="34">
        <v>100</v>
      </c>
      <c r="D17" s="35">
        <f>4862920-172000+390624.88+18000-259100-18000+2000</f>
        <v>4824444.88</v>
      </c>
    </row>
    <row r="18" spans="1:6" ht="132" customHeight="1" x14ac:dyDescent="0.3">
      <c r="A18" s="36" t="s">
        <v>240</v>
      </c>
      <c r="B18" s="33" t="s">
        <v>3</v>
      </c>
      <c r="C18" s="34">
        <v>200</v>
      </c>
      <c r="D18" s="35">
        <f>4181100+39655+321299.62+151475+28100-13000+18000+19531+13000</f>
        <v>4759160.62</v>
      </c>
    </row>
    <row r="19" spans="1:6" ht="133.5" customHeight="1" x14ac:dyDescent="0.3">
      <c r="A19" s="32" t="s">
        <v>241</v>
      </c>
      <c r="B19" s="33" t="s">
        <v>3</v>
      </c>
      <c r="C19" s="34">
        <v>600</v>
      </c>
      <c r="D19" s="35">
        <f>28704900-560000-300000+2138157.2+347516.05+181535+97665+134416-246643+30100+199943</f>
        <v>30727589.25</v>
      </c>
    </row>
    <row r="20" spans="1:6" ht="99" customHeight="1" x14ac:dyDescent="0.3">
      <c r="A20" s="32" t="s">
        <v>178</v>
      </c>
      <c r="B20" s="33" t="s">
        <v>3</v>
      </c>
      <c r="C20" s="34">
        <v>800</v>
      </c>
      <c r="D20" s="35">
        <f>93000-35000-21531</f>
        <v>36469</v>
      </c>
    </row>
    <row r="21" spans="1:6" ht="99" customHeight="1" x14ac:dyDescent="0.3">
      <c r="A21" s="32" t="s">
        <v>555</v>
      </c>
      <c r="B21" s="33" t="s">
        <v>4</v>
      </c>
      <c r="C21" s="34">
        <v>200</v>
      </c>
      <c r="D21" s="35">
        <v>70575</v>
      </c>
    </row>
    <row r="22" spans="1:6" ht="307.5" customHeight="1" x14ac:dyDescent="0.3">
      <c r="A22" s="32" t="s">
        <v>222</v>
      </c>
      <c r="B22" s="33" t="s">
        <v>5</v>
      </c>
      <c r="C22" s="34">
        <v>100</v>
      </c>
      <c r="D22" s="35">
        <f>2271916+193740</f>
        <v>2465656</v>
      </c>
    </row>
    <row r="23" spans="1:6" ht="252.75" customHeight="1" x14ac:dyDescent="0.3">
      <c r="A23" s="32" t="s">
        <v>223</v>
      </c>
      <c r="B23" s="33" t="s">
        <v>5</v>
      </c>
      <c r="C23" s="34">
        <v>200</v>
      </c>
      <c r="D23" s="35">
        <v>17490</v>
      </c>
    </row>
    <row r="24" spans="1:6" ht="251.25" customHeight="1" x14ac:dyDescent="0.3">
      <c r="A24" s="32" t="s">
        <v>224</v>
      </c>
      <c r="B24" s="33" t="s">
        <v>5</v>
      </c>
      <c r="C24" s="34">
        <v>600</v>
      </c>
      <c r="D24" s="35">
        <f>18618524+1574888</f>
        <v>20193412</v>
      </c>
    </row>
    <row r="25" spans="1:6" s="4" customFormat="1" ht="37.5" x14ac:dyDescent="0.3">
      <c r="A25" s="28" t="s">
        <v>6</v>
      </c>
      <c r="B25" s="29" t="s">
        <v>221</v>
      </c>
      <c r="C25" s="30"/>
      <c r="D25" s="31">
        <f>SUM(D26:D27)</f>
        <v>572500</v>
      </c>
      <c r="F25" s="12"/>
    </row>
    <row r="26" spans="1:6" ht="98.25" customHeight="1" x14ac:dyDescent="0.3">
      <c r="A26" s="32" t="s">
        <v>203</v>
      </c>
      <c r="B26" s="33" t="s">
        <v>7</v>
      </c>
      <c r="C26" s="34">
        <v>200</v>
      </c>
      <c r="D26" s="35">
        <v>147500</v>
      </c>
    </row>
    <row r="27" spans="1:6" ht="98.25" customHeight="1" x14ac:dyDescent="0.3">
      <c r="A27" s="32" t="s">
        <v>186</v>
      </c>
      <c r="B27" s="33" t="s">
        <v>7</v>
      </c>
      <c r="C27" s="34">
        <v>600</v>
      </c>
      <c r="D27" s="35">
        <v>425000</v>
      </c>
    </row>
    <row r="28" spans="1:6" s="4" customFormat="1" ht="73.5" customHeight="1" x14ac:dyDescent="0.3">
      <c r="A28" s="28" t="s">
        <v>242</v>
      </c>
      <c r="B28" s="29" t="s">
        <v>8</v>
      </c>
      <c r="C28" s="30"/>
      <c r="D28" s="31">
        <f>SUM(D29:D31)</f>
        <v>2046403.13</v>
      </c>
      <c r="F28" s="12"/>
    </row>
    <row r="29" spans="1:6" ht="214.5" customHeight="1" x14ac:dyDescent="0.3">
      <c r="A29" s="32" t="s">
        <v>225</v>
      </c>
      <c r="B29" s="33" t="s">
        <v>9</v>
      </c>
      <c r="C29" s="34">
        <v>200</v>
      </c>
      <c r="D29" s="35">
        <v>38961</v>
      </c>
    </row>
    <row r="30" spans="1:6" ht="224.25" customHeight="1" x14ac:dyDescent="0.3">
      <c r="A30" s="32" t="s">
        <v>226</v>
      </c>
      <c r="B30" s="33" t="s">
        <v>9</v>
      </c>
      <c r="C30" s="34">
        <v>600</v>
      </c>
      <c r="D30" s="35">
        <v>939789</v>
      </c>
    </row>
    <row r="31" spans="1:6" ht="167.25" customHeight="1" x14ac:dyDescent="0.3">
      <c r="A31" s="32" t="s">
        <v>243</v>
      </c>
      <c r="B31" s="33" t="s">
        <v>10</v>
      </c>
      <c r="C31" s="34">
        <v>300</v>
      </c>
      <c r="D31" s="35">
        <v>1067653.1299999999</v>
      </c>
    </row>
    <row r="32" spans="1:6" s="5" customFormat="1" ht="103.5" customHeight="1" x14ac:dyDescent="0.3">
      <c r="A32" s="25" t="s">
        <v>244</v>
      </c>
      <c r="B32" s="24" t="s">
        <v>11</v>
      </c>
      <c r="C32" s="26"/>
      <c r="D32" s="27">
        <f>D33+D41+D47</f>
        <v>102717021.01000001</v>
      </c>
      <c r="F32" s="11"/>
    </row>
    <row r="33" spans="1:6" s="4" customFormat="1" ht="37.5" x14ac:dyDescent="0.3">
      <c r="A33" s="28" t="s">
        <v>245</v>
      </c>
      <c r="B33" s="29" t="s">
        <v>12</v>
      </c>
      <c r="C33" s="30"/>
      <c r="D33" s="31">
        <f>SUM(D34:D40)</f>
        <v>98869545.780000001</v>
      </c>
      <c r="F33" s="12"/>
    </row>
    <row r="34" spans="1:6" ht="184.5" customHeight="1" x14ac:dyDescent="0.3">
      <c r="A34" s="32" t="s">
        <v>246</v>
      </c>
      <c r="B34" s="33" t="s">
        <v>13</v>
      </c>
      <c r="C34" s="34">
        <v>100</v>
      </c>
      <c r="D34" s="35">
        <f>3393180+172000+4000</f>
        <v>3569180</v>
      </c>
    </row>
    <row r="35" spans="1:6" ht="149.25" customHeight="1" x14ac:dyDescent="0.3">
      <c r="A35" s="32" t="s">
        <v>247</v>
      </c>
      <c r="B35" s="33" t="s">
        <v>13</v>
      </c>
      <c r="C35" s="34">
        <v>200</v>
      </c>
      <c r="D35" s="35">
        <f>9848090+100000-100000+35000+562232.2-3000-39300+697628+118900+743903.4-1800+9425+24500+15075+87212+13000+40400+8026-13000+26519.31+160000</f>
        <v>12332810.91</v>
      </c>
    </row>
    <row r="36" spans="1:6" ht="142.5" customHeight="1" x14ac:dyDescent="0.3">
      <c r="A36" s="32" t="s">
        <v>187</v>
      </c>
      <c r="B36" s="33" t="s">
        <v>13</v>
      </c>
      <c r="C36" s="34">
        <v>600</v>
      </c>
      <c r="D36" s="35">
        <f>7304310+560000+200000+178126.41+142300+386867.2+11600+280400+130326.07+152875+181100+44000+36500+286591+38000+134367+190900</f>
        <v>10258262.68</v>
      </c>
    </row>
    <row r="37" spans="1:6" ht="126.75" customHeight="1" x14ac:dyDescent="0.3">
      <c r="A37" s="32" t="s">
        <v>248</v>
      </c>
      <c r="B37" s="33" t="s">
        <v>13</v>
      </c>
      <c r="C37" s="34">
        <v>800</v>
      </c>
      <c r="D37" s="35">
        <f>587500-11600+3000-104400-4000+1800-26519.31-8026</f>
        <v>437754.69</v>
      </c>
    </row>
    <row r="38" spans="1:6" ht="313.5" customHeight="1" x14ac:dyDescent="0.3">
      <c r="A38" s="32" t="s">
        <v>479</v>
      </c>
      <c r="B38" s="33" t="s">
        <v>14</v>
      </c>
      <c r="C38" s="34">
        <v>100</v>
      </c>
      <c r="D38" s="35">
        <f>32310705+3625468.5</f>
        <v>35936173.5</v>
      </c>
    </row>
    <row r="39" spans="1:6" ht="262.5" customHeight="1" x14ac:dyDescent="0.3">
      <c r="A39" s="32" t="s">
        <v>480</v>
      </c>
      <c r="B39" s="33" t="s">
        <v>14</v>
      </c>
      <c r="C39" s="34">
        <v>200</v>
      </c>
      <c r="D39" s="35">
        <v>207158</v>
      </c>
    </row>
    <row r="40" spans="1:6" ht="259.5" customHeight="1" x14ac:dyDescent="0.3">
      <c r="A40" s="32" t="s">
        <v>481</v>
      </c>
      <c r="B40" s="33" t="s">
        <v>14</v>
      </c>
      <c r="C40" s="34">
        <v>600</v>
      </c>
      <c r="D40" s="35">
        <v>36128206</v>
      </c>
    </row>
    <row r="41" spans="1:6" s="4" customFormat="1" ht="42" customHeight="1" x14ac:dyDescent="0.3">
      <c r="A41" s="28" t="s">
        <v>16</v>
      </c>
      <c r="B41" s="29" t="s">
        <v>15</v>
      </c>
      <c r="C41" s="30"/>
      <c r="D41" s="31">
        <f>SUM(D42:D46)</f>
        <v>3547475.23</v>
      </c>
      <c r="F41" s="12"/>
    </row>
    <row r="42" spans="1:6" ht="84" customHeight="1" x14ac:dyDescent="0.3">
      <c r="A42" s="32" t="s">
        <v>188</v>
      </c>
      <c r="B42" s="33" t="s">
        <v>17</v>
      </c>
      <c r="C42" s="34">
        <v>600</v>
      </c>
      <c r="D42" s="35">
        <f>1578600+308388.06</f>
        <v>1886988.06</v>
      </c>
    </row>
    <row r="43" spans="1:6" ht="105.75" customHeight="1" x14ac:dyDescent="0.3">
      <c r="A43" s="32" t="s">
        <v>204</v>
      </c>
      <c r="B43" s="33" t="s">
        <v>18</v>
      </c>
      <c r="C43" s="34">
        <v>200</v>
      </c>
      <c r="D43" s="35">
        <v>527500</v>
      </c>
    </row>
    <row r="44" spans="1:6" ht="108.75" customHeight="1" x14ac:dyDescent="0.3">
      <c r="A44" s="32" t="s">
        <v>189</v>
      </c>
      <c r="B44" s="33" t="s">
        <v>18</v>
      </c>
      <c r="C44" s="34">
        <v>600</v>
      </c>
      <c r="D44" s="35">
        <v>400000</v>
      </c>
    </row>
    <row r="45" spans="1:6" ht="126.75" customHeight="1" x14ac:dyDescent="0.3">
      <c r="A45" s="36" t="s">
        <v>493</v>
      </c>
      <c r="B45" s="33" t="s">
        <v>492</v>
      </c>
      <c r="C45" s="34">
        <v>200</v>
      </c>
      <c r="D45" s="35">
        <f>249732+41405</f>
        <v>291137</v>
      </c>
    </row>
    <row r="46" spans="1:6" ht="116.25" customHeight="1" x14ac:dyDescent="0.3">
      <c r="A46" s="37" t="s">
        <v>495</v>
      </c>
      <c r="B46" s="33" t="s">
        <v>492</v>
      </c>
      <c r="C46" s="34">
        <v>600</v>
      </c>
      <c r="D46" s="35">
        <f>303390.17+138460</f>
        <v>441850.17</v>
      </c>
    </row>
    <row r="47" spans="1:6" ht="68.25" customHeight="1" x14ac:dyDescent="0.3">
      <c r="A47" s="38" t="s">
        <v>523</v>
      </c>
      <c r="B47" s="29" t="s">
        <v>524</v>
      </c>
      <c r="C47" s="30"/>
      <c r="D47" s="31">
        <f>D48+D49</f>
        <v>300000</v>
      </c>
    </row>
    <row r="48" spans="1:6" ht="181.5" customHeight="1" x14ac:dyDescent="0.3">
      <c r="A48" s="36" t="s">
        <v>561</v>
      </c>
      <c r="B48" s="33" t="s">
        <v>562</v>
      </c>
      <c r="C48" s="34">
        <v>200</v>
      </c>
      <c r="D48" s="35">
        <f>200000+60000</f>
        <v>260000</v>
      </c>
    </row>
    <row r="49" spans="1:6" ht="181.5" customHeight="1" x14ac:dyDescent="0.3">
      <c r="A49" s="36" t="s">
        <v>572</v>
      </c>
      <c r="B49" s="33" t="s">
        <v>573</v>
      </c>
      <c r="C49" s="34">
        <v>200</v>
      </c>
      <c r="D49" s="35">
        <v>40000</v>
      </c>
    </row>
    <row r="50" spans="1:6" s="5" customFormat="1" ht="44.25" customHeight="1" x14ac:dyDescent="0.3">
      <c r="A50" s="25" t="s">
        <v>429</v>
      </c>
      <c r="B50" s="24" t="s">
        <v>19</v>
      </c>
      <c r="C50" s="26"/>
      <c r="D50" s="27">
        <f>D51</f>
        <v>9823375.5299999993</v>
      </c>
      <c r="F50" s="11"/>
    </row>
    <row r="51" spans="1:6" s="4" customFormat="1" ht="46.5" customHeight="1" x14ac:dyDescent="0.3">
      <c r="A51" s="28" t="s">
        <v>430</v>
      </c>
      <c r="B51" s="29" t="s">
        <v>20</v>
      </c>
      <c r="C51" s="30"/>
      <c r="D51" s="31">
        <f>SUM(D52:D53)</f>
        <v>9823375.5299999993</v>
      </c>
      <c r="F51" s="12"/>
    </row>
    <row r="52" spans="1:6" ht="88.5" customHeight="1" x14ac:dyDescent="0.3">
      <c r="A52" s="32" t="s">
        <v>190</v>
      </c>
      <c r="B52" s="33" t="s">
        <v>21</v>
      </c>
      <c r="C52" s="34">
        <v>600</v>
      </c>
      <c r="D52" s="35">
        <f>7732400+287828.86+41602+15400+312005+83800+270252+51000+33767-585200</f>
        <v>8242854.8599999994</v>
      </c>
    </row>
    <row r="53" spans="1:6" ht="147" customHeight="1" x14ac:dyDescent="0.3">
      <c r="A53" s="32" t="s">
        <v>191</v>
      </c>
      <c r="B53" s="33" t="s">
        <v>201</v>
      </c>
      <c r="C53" s="34">
        <v>600</v>
      </c>
      <c r="D53" s="35">
        <v>1580520.67</v>
      </c>
    </row>
    <row r="54" spans="1:6" s="5" customFormat="1" ht="49.5" customHeight="1" x14ac:dyDescent="0.3">
      <c r="A54" s="25" t="s">
        <v>23</v>
      </c>
      <c r="B54" s="24" t="s">
        <v>22</v>
      </c>
      <c r="C54" s="26"/>
      <c r="D54" s="27">
        <f>D55+D60</f>
        <v>659660</v>
      </c>
      <c r="F54" s="11"/>
    </row>
    <row r="55" spans="1:6" s="4" customFormat="1" ht="49.5" customHeight="1" x14ac:dyDescent="0.3">
      <c r="A55" s="28" t="s">
        <v>233</v>
      </c>
      <c r="B55" s="29" t="s">
        <v>24</v>
      </c>
      <c r="C55" s="30"/>
      <c r="D55" s="31">
        <f>SUM(D56:D59)</f>
        <v>613460</v>
      </c>
      <c r="F55" s="12"/>
    </row>
    <row r="56" spans="1:6" ht="83.25" customHeight="1" x14ac:dyDescent="0.3">
      <c r="A56" s="32" t="s">
        <v>249</v>
      </c>
      <c r="B56" s="33" t="s">
        <v>26</v>
      </c>
      <c r="C56" s="34">
        <v>200</v>
      </c>
      <c r="D56" s="35">
        <v>22100</v>
      </c>
    </row>
    <row r="57" spans="1:6" ht="103.5" customHeight="1" x14ac:dyDescent="0.3">
      <c r="A57" s="32" t="s">
        <v>494</v>
      </c>
      <c r="B57" s="33" t="s">
        <v>25</v>
      </c>
      <c r="C57" s="34">
        <v>600</v>
      </c>
      <c r="D57" s="35">
        <f>105900+360</f>
        <v>106260</v>
      </c>
    </row>
    <row r="58" spans="1:6" ht="105.75" customHeight="1" x14ac:dyDescent="0.3">
      <c r="A58" s="32" t="s">
        <v>250</v>
      </c>
      <c r="B58" s="33" t="s">
        <v>27</v>
      </c>
      <c r="C58" s="34">
        <v>200</v>
      </c>
      <c r="D58" s="35">
        <f>207900-13860</f>
        <v>194040</v>
      </c>
    </row>
    <row r="59" spans="1:6" ht="110.25" customHeight="1" x14ac:dyDescent="0.3">
      <c r="A59" s="32" t="s">
        <v>251</v>
      </c>
      <c r="B59" s="33" t="s">
        <v>27</v>
      </c>
      <c r="C59" s="34">
        <v>600</v>
      </c>
      <c r="D59" s="35">
        <f>277200+13860</f>
        <v>291060</v>
      </c>
    </row>
    <row r="60" spans="1:6" s="4" customFormat="1" ht="44.25" customHeight="1" x14ac:dyDescent="0.3">
      <c r="A60" s="28" t="s">
        <v>227</v>
      </c>
      <c r="B60" s="29" t="s">
        <v>28</v>
      </c>
      <c r="C60" s="30"/>
      <c r="D60" s="31">
        <f>D61</f>
        <v>46200</v>
      </c>
      <c r="F60" s="12"/>
    </row>
    <row r="61" spans="1:6" ht="121.5" customHeight="1" x14ac:dyDescent="0.3">
      <c r="A61" s="32" t="s">
        <v>228</v>
      </c>
      <c r="B61" s="33" t="s">
        <v>29</v>
      </c>
      <c r="C61" s="34">
        <v>200</v>
      </c>
      <c r="D61" s="35">
        <v>46200</v>
      </c>
    </row>
    <row r="62" spans="1:6" s="5" customFormat="1" ht="25.5" customHeight="1" x14ac:dyDescent="0.3">
      <c r="A62" s="25" t="s">
        <v>252</v>
      </c>
      <c r="B62" s="24" t="s">
        <v>30</v>
      </c>
      <c r="C62" s="26"/>
      <c r="D62" s="27">
        <f>D63</f>
        <v>155000</v>
      </c>
      <c r="F62" s="11"/>
    </row>
    <row r="63" spans="1:6" s="4" customFormat="1" ht="47.25" customHeight="1" x14ac:dyDescent="0.3">
      <c r="A63" s="28" t="s">
        <v>253</v>
      </c>
      <c r="B63" s="29" t="s">
        <v>31</v>
      </c>
      <c r="C63" s="30"/>
      <c r="D63" s="31">
        <f>SUM(D64:D68)</f>
        <v>155000</v>
      </c>
      <c r="F63" s="12"/>
    </row>
    <row r="64" spans="1:6" ht="151.5" customHeight="1" x14ac:dyDescent="0.3">
      <c r="A64" s="32" t="s">
        <v>254</v>
      </c>
      <c r="B64" s="33" t="s">
        <v>32</v>
      </c>
      <c r="C64" s="34">
        <v>200</v>
      </c>
      <c r="D64" s="35">
        <v>50000</v>
      </c>
    </row>
    <row r="65" spans="1:6" ht="154.5" customHeight="1" x14ac:dyDescent="0.3">
      <c r="A65" s="32" t="s">
        <v>255</v>
      </c>
      <c r="B65" s="33" t="s">
        <v>32</v>
      </c>
      <c r="C65" s="34">
        <v>600</v>
      </c>
      <c r="D65" s="35">
        <f>75000-10000</f>
        <v>65000</v>
      </c>
    </row>
    <row r="66" spans="1:6" ht="93.75" customHeight="1" x14ac:dyDescent="0.3">
      <c r="A66" s="32" t="s">
        <v>599</v>
      </c>
      <c r="B66" s="33" t="s">
        <v>598</v>
      </c>
      <c r="C66" s="34">
        <v>600</v>
      </c>
      <c r="D66" s="35">
        <v>10000</v>
      </c>
    </row>
    <row r="67" spans="1:6" ht="130.5" customHeight="1" x14ac:dyDescent="0.3">
      <c r="A67" s="32" t="s">
        <v>256</v>
      </c>
      <c r="B67" s="33" t="s">
        <v>33</v>
      </c>
      <c r="C67" s="34">
        <v>200</v>
      </c>
      <c r="D67" s="35">
        <v>8000</v>
      </c>
      <c r="E67" s="21"/>
    </row>
    <row r="68" spans="1:6" ht="130.5" customHeight="1" x14ac:dyDescent="0.3">
      <c r="A68" s="32" t="s">
        <v>460</v>
      </c>
      <c r="B68" s="33" t="s">
        <v>33</v>
      </c>
      <c r="C68" s="34">
        <v>600</v>
      </c>
      <c r="D68" s="35">
        <v>22000</v>
      </c>
      <c r="E68" s="21"/>
    </row>
    <row r="69" spans="1:6" s="5" customFormat="1" ht="51" customHeight="1" x14ac:dyDescent="0.3">
      <c r="A69" s="39" t="s">
        <v>35</v>
      </c>
      <c r="B69" s="24" t="s">
        <v>34</v>
      </c>
      <c r="C69" s="26"/>
      <c r="D69" s="27">
        <f>D70</f>
        <v>50000</v>
      </c>
      <c r="F69" s="11"/>
    </row>
    <row r="70" spans="1:6" s="4" customFormat="1" ht="49.5" customHeight="1" x14ac:dyDescent="0.3">
      <c r="A70" s="28" t="s">
        <v>37</v>
      </c>
      <c r="B70" s="29" t="s">
        <v>36</v>
      </c>
      <c r="C70" s="30"/>
      <c r="D70" s="31">
        <f>SUM(D71:D72)</f>
        <v>50000</v>
      </c>
      <c r="F70" s="12"/>
    </row>
    <row r="71" spans="1:6" ht="145.5" customHeight="1" x14ac:dyDescent="0.3">
      <c r="A71" s="32" t="s">
        <v>205</v>
      </c>
      <c r="B71" s="33" t="s">
        <v>38</v>
      </c>
      <c r="C71" s="34">
        <v>200</v>
      </c>
      <c r="D71" s="35">
        <v>30000</v>
      </c>
    </row>
    <row r="72" spans="1:6" ht="147.75" customHeight="1" x14ac:dyDescent="0.3">
      <c r="A72" s="32" t="s">
        <v>197</v>
      </c>
      <c r="B72" s="33" t="s">
        <v>38</v>
      </c>
      <c r="C72" s="34">
        <v>600</v>
      </c>
      <c r="D72" s="35">
        <v>20000</v>
      </c>
    </row>
    <row r="73" spans="1:6" s="5" customFormat="1" ht="87" customHeight="1" x14ac:dyDescent="0.3">
      <c r="A73" s="25" t="s">
        <v>40</v>
      </c>
      <c r="B73" s="24" t="s">
        <v>39</v>
      </c>
      <c r="C73" s="26"/>
      <c r="D73" s="27">
        <f>D74</f>
        <v>97100</v>
      </c>
      <c r="F73" s="11"/>
    </row>
    <row r="74" spans="1:6" s="4" customFormat="1" ht="51" customHeight="1" x14ac:dyDescent="0.3">
      <c r="A74" s="28" t="s">
        <v>41</v>
      </c>
      <c r="B74" s="29" t="s">
        <v>200</v>
      </c>
      <c r="C74" s="30"/>
      <c r="D74" s="31">
        <f>SUM(D75:D76)</f>
        <v>97100</v>
      </c>
      <c r="F74" s="12"/>
    </row>
    <row r="75" spans="1:6" ht="108.75" customHeight="1" x14ac:dyDescent="0.3">
      <c r="A75" s="32" t="s">
        <v>206</v>
      </c>
      <c r="B75" s="33" t="s">
        <v>42</v>
      </c>
      <c r="C75" s="34">
        <v>200</v>
      </c>
      <c r="D75" s="35">
        <f>66100-21021.74</f>
        <v>45078.259999999995</v>
      </c>
    </row>
    <row r="76" spans="1:6" ht="107.25" customHeight="1" x14ac:dyDescent="0.3">
      <c r="A76" s="32" t="s">
        <v>192</v>
      </c>
      <c r="B76" s="33" t="s">
        <v>42</v>
      </c>
      <c r="C76" s="34">
        <v>600</v>
      </c>
      <c r="D76" s="35">
        <f>31000+21021.74</f>
        <v>52021.740000000005</v>
      </c>
    </row>
    <row r="77" spans="1:6" s="5" customFormat="1" ht="95.25" customHeight="1" x14ac:dyDescent="0.3">
      <c r="A77" s="25" t="s">
        <v>257</v>
      </c>
      <c r="B77" s="24" t="s">
        <v>43</v>
      </c>
      <c r="C77" s="26"/>
      <c r="D77" s="27">
        <f>D78</f>
        <v>6717752.8399999999</v>
      </c>
      <c r="F77" s="11"/>
    </row>
    <row r="78" spans="1:6" s="4" customFormat="1" ht="89.25" customHeight="1" x14ac:dyDescent="0.3">
      <c r="A78" s="28" t="s">
        <v>474</v>
      </c>
      <c r="B78" s="29" t="s">
        <v>44</v>
      </c>
      <c r="C78" s="30"/>
      <c r="D78" s="31">
        <f>SUM(D79:D81)</f>
        <v>6717752.8399999999</v>
      </c>
      <c r="F78" s="12"/>
    </row>
    <row r="79" spans="1:6" ht="129.75" customHeight="1" x14ac:dyDescent="0.3">
      <c r="A79" s="32" t="s">
        <v>179</v>
      </c>
      <c r="B79" s="33" t="s">
        <v>45</v>
      </c>
      <c r="C79" s="34">
        <v>100</v>
      </c>
      <c r="D79" s="35">
        <f>4672600+185032.84-54110+107625</f>
        <v>4911147.84</v>
      </c>
    </row>
    <row r="80" spans="1:6" ht="94.5" customHeight="1" x14ac:dyDescent="0.3">
      <c r="A80" s="32" t="s">
        <v>258</v>
      </c>
      <c r="B80" s="33" t="s">
        <v>45</v>
      </c>
      <c r="C80" s="34">
        <v>200</v>
      </c>
      <c r="D80" s="35">
        <f>1350400+100000+23000+20080-98765+90000+22800+7190+234300</f>
        <v>1749005</v>
      </c>
    </row>
    <row r="81" spans="1:6" ht="52.5" customHeight="1" x14ac:dyDescent="0.3">
      <c r="A81" s="32" t="s">
        <v>259</v>
      </c>
      <c r="B81" s="33" t="s">
        <v>45</v>
      </c>
      <c r="C81" s="34">
        <v>800</v>
      </c>
      <c r="D81" s="35">
        <v>57600</v>
      </c>
    </row>
    <row r="82" spans="1:6" ht="79.5" customHeight="1" x14ac:dyDescent="0.3">
      <c r="A82" s="25" t="s">
        <v>578</v>
      </c>
      <c r="B82" s="24" t="s">
        <v>574</v>
      </c>
      <c r="C82" s="26"/>
      <c r="D82" s="27">
        <f>D83</f>
        <v>52000</v>
      </c>
    </row>
    <row r="83" spans="1:6" ht="46.5" customHeight="1" x14ac:dyDescent="0.3">
      <c r="A83" s="28" t="s">
        <v>577</v>
      </c>
      <c r="B83" s="29" t="s">
        <v>575</v>
      </c>
      <c r="C83" s="30"/>
      <c r="D83" s="31">
        <f>D84+D85</f>
        <v>52000</v>
      </c>
    </row>
    <row r="84" spans="1:6" ht="118.5" customHeight="1" x14ac:dyDescent="0.3">
      <c r="A84" s="32" t="s">
        <v>591</v>
      </c>
      <c r="B84" s="33" t="s">
        <v>576</v>
      </c>
      <c r="C84" s="34">
        <v>200</v>
      </c>
      <c r="D84" s="35">
        <v>0</v>
      </c>
    </row>
    <row r="85" spans="1:6" ht="118.5" customHeight="1" x14ac:dyDescent="0.3">
      <c r="A85" s="32" t="s">
        <v>601</v>
      </c>
      <c r="B85" s="33" t="s">
        <v>576</v>
      </c>
      <c r="C85" s="34">
        <v>600</v>
      </c>
      <c r="D85" s="35">
        <v>52000</v>
      </c>
    </row>
    <row r="86" spans="1:6" s="5" customFormat="1" ht="108.75" customHeight="1" x14ac:dyDescent="0.3">
      <c r="A86" s="25" t="s">
        <v>436</v>
      </c>
      <c r="B86" s="24" t="s">
        <v>46</v>
      </c>
      <c r="C86" s="26"/>
      <c r="D86" s="27">
        <f>D87+D98+D104+D109+D113+D116+D128+D136</f>
        <v>14848471.170000002</v>
      </c>
      <c r="F86" s="11"/>
    </row>
    <row r="87" spans="1:6" s="5" customFormat="1" ht="53.25" customHeight="1" x14ac:dyDescent="0.3">
      <c r="A87" s="25" t="s">
        <v>260</v>
      </c>
      <c r="B87" s="24" t="s">
        <v>47</v>
      </c>
      <c r="C87" s="26"/>
      <c r="D87" s="27">
        <f>D91</f>
        <v>4801612.84</v>
      </c>
      <c r="F87" s="11"/>
    </row>
    <row r="88" spans="1:6" s="4" customFormat="1" ht="79.5" hidden="1" customHeight="1" x14ac:dyDescent="0.3">
      <c r="A88" s="28" t="s">
        <v>49</v>
      </c>
      <c r="B88" s="29" t="s">
        <v>48</v>
      </c>
      <c r="C88" s="30"/>
      <c r="D88" s="31">
        <f>SUM(D89:D90)</f>
        <v>0</v>
      </c>
      <c r="F88" s="12"/>
    </row>
    <row r="89" spans="1:6" ht="80.25" hidden="1" customHeight="1" x14ac:dyDescent="0.3">
      <c r="A89" s="32" t="s">
        <v>51</v>
      </c>
      <c r="B89" s="33" t="s">
        <v>50</v>
      </c>
      <c r="C89" s="34"/>
      <c r="D89" s="35"/>
    </row>
    <row r="90" spans="1:6" ht="7.5" hidden="1" customHeight="1" x14ac:dyDescent="0.3">
      <c r="A90" s="32" t="s">
        <v>53</v>
      </c>
      <c r="B90" s="33" t="s">
        <v>52</v>
      </c>
      <c r="C90" s="34"/>
      <c r="D90" s="35"/>
    </row>
    <row r="91" spans="1:6" s="4" customFormat="1" ht="106.5" customHeight="1" x14ac:dyDescent="0.3">
      <c r="A91" s="40" t="s">
        <v>311</v>
      </c>
      <c r="B91" s="29" t="s">
        <v>310</v>
      </c>
      <c r="C91" s="30"/>
      <c r="D91" s="31">
        <f>SUM(D92:D97)</f>
        <v>4801612.84</v>
      </c>
      <c r="F91" s="12"/>
    </row>
    <row r="92" spans="1:6" s="4" customFormat="1" ht="122.25" customHeight="1" x14ac:dyDescent="0.3">
      <c r="A92" s="36" t="s">
        <v>482</v>
      </c>
      <c r="B92" s="41" t="s">
        <v>476</v>
      </c>
      <c r="C92" s="34">
        <v>500</v>
      </c>
      <c r="D92" s="35">
        <f>1616160.82-580398.82</f>
        <v>1035762.0000000001</v>
      </c>
      <c r="F92" s="12"/>
    </row>
    <row r="93" spans="1:6" s="4" customFormat="1" ht="106.5" customHeight="1" x14ac:dyDescent="0.3">
      <c r="A93" s="36" t="s">
        <v>483</v>
      </c>
      <c r="B93" s="41" t="s">
        <v>477</v>
      </c>
      <c r="C93" s="34">
        <v>500</v>
      </c>
      <c r="D93" s="35">
        <f>397995.23-226467.23</f>
        <v>171527.99999999997</v>
      </c>
      <c r="F93" s="12"/>
    </row>
    <row r="94" spans="1:6" ht="85.5" customHeight="1" x14ac:dyDescent="0.3">
      <c r="A94" s="32" t="s">
        <v>484</v>
      </c>
      <c r="B94" s="33" t="s">
        <v>462</v>
      </c>
      <c r="C94" s="34">
        <v>200</v>
      </c>
      <c r="D94" s="35">
        <f>3047280.69-2014156.05+978394.05+544504.67</f>
        <v>2556023.36</v>
      </c>
      <c r="E94" s="22"/>
    </row>
    <row r="95" spans="1:6" ht="82.5" customHeight="1" x14ac:dyDescent="0.3">
      <c r="A95" s="32" t="s">
        <v>464</v>
      </c>
      <c r="B95" s="33" t="s">
        <v>463</v>
      </c>
      <c r="C95" s="34">
        <v>200</v>
      </c>
      <c r="D95" s="35">
        <f>1025066.51-171528+109052.97</f>
        <v>962591.48</v>
      </c>
      <c r="E95" s="22"/>
    </row>
    <row r="96" spans="1:6" ht="98.25" customHeight="1" x14ac:dyDescent="0.3">
      <c r="A96" s="36" t="s">
        <v>466</v>
      </c>
      <c r="B96" s="33" t="s">
        <v>465</v>
      </c>
      <c r="C96" s="34">
        <v>200</v>
      </c>
      <c r="D96" s="35">
        <f>150000-85587.76</f>
        <v>64412.240000000005</v>
      </c>
      <c r="E96" s="22"/>
    </row>
    <row r="97" spans="1:6" ht="107.25" customHeight="1" x14ac:dyDescent="0.3">
      <c r="A97" s="32" t="s">
        <v>468</v>
      </c>
      <c r="B97" s="33" t="s">
        <v>467</v>
      </c>
      <c r="C97" s="34">
        <v>200</v>
      </c>
      <c r="D97" s="35">
        <v>11295.76</v>
      </c>
    </row>
    <row r="98" spans="1:6" s="5" customFormat="1" ht="69" customHeight="1" x14ac:dyDescent="0.3">
      <c r="A98" s="25" t="s">
        <v>261</v>
      </c>
      <c r="B98" s="24" t="s">
        <v>54</v>
      </c>
      <c r="C98" s="26"/>
      <c r="D98" s="27">
        <f>D99</f>
        <v>278021</v>
      </c>
      <c r="F98" s="11"/>
    </row>
    <row r="99" spans="1:6" s="4" customFormat="1" ht="48" customHeight="1" x14ac:dyDescent="0.3">
      <c r="A99" s="28" t="s">
        <v>262</v>
      </c>
      <c r="B99" s="29" t="s">
        <v>55</v>
      </c>
      <c r="C99" s="30"/>
      <c r="D99" s="31">
        <f>SUM(D100:D103)</f>
        <v>278021</v>
      </c>
      <c r="F99" s="12"/>
    </row>
    <row r="100" spans="1:6" ht="84" customHeight="1" x14ac:dyDescent="0.3">
      <c r="A100" s="32" t="s">
        <v>393</v>
      </c>
      <c r="B100" s="33" t="s">
        <v>56</v>
      </c>
      <c r="C100" s="34">
        <v>200</v>
      </c>
      <c r="D100" s="35">
        <f>184021</f>
        <v>184021</v>
      </c>
    </row>
    <row r="101" spans="1:6" ht="141" customHeight="1" x14ac:dyDescent="0.3">
      <c r="A101" s="32" t="s">
        <v>454</v>
      </c>
      <c r="B101" s="33" t="s">
        <v>57</v>
      </c>
      <c r="C101" s="34">
        <v>200</v>
      </c>
      <c r="D101" s="35">
        <v>60000</v>
      </c>
    </row>
    <row r="102" spans="1:6" ht="144.75" customHeight="1" x14ac:dyDescent="0.3">
      <c r="A102" s="32" t="s">
        <v>455</v>
      </c>
      <c r="B102" s="33" t="s">
        <v>57</v>
      </c>
      <c r="C102" s="34">
        <v>600</v>
      </c>
      <c r="D102" s="35">
        <v>24000</v>
      </c>
    </row>
    <row r="103" spans="1:6" ht="89.25" customHeight="1" x14ac:dyDescent="0.3">
      <c r="A103" s="32" t="s">
        <v>394</v>
      </c>
      <c r="B103" s="33" t="s">
        <v>312</v>
      </c>
      <c r="C103" s="34">
        <v>200</v>
      </c>
      <c r="D103" s="35">
        <f>30000-10575-9425</f>
        <v>10000</v>
      </c>
    </row>
    <row r="104" spans="1:6" s="5" customFormat="1" ht="143.25" customHeight="1" x14ac:dyDescent="0.3">
      <c r="A104" s="42" t="s">
        <v>59</v>
      </c>
      <c r="B104" s="24" t="s">
        <v>58</v>
      </c>
      <c r="C104" s="26"/>
      <c r="D104" s="27">
        <f>D105</f>
        <v>1900000</v>
      </c>
      <c r="F104" s="11"/>
    </row>
    <row r="105" spans="1:6" s="4" customFormat="1" ht="65.25" customHeight="1" x14ac:dyDescent="0.3">
      <c r="A105" s="43" t="s">
        <v>61</v>
      </c>
      <c r="B105" s="29" t="s">
        <v>60</v>
      </c>
      <c r="C105" s="30"/>
      <c r="D105" s="31">
        <f>SUM(D106:D106)</f>
        <v>1900000</v>
      </c>
      <c r="F105" s="12"/>
    </row>
    <row r="106" spans="1:6" s="4" customFormat="1" ht="124.5" customHeight="1" x14ac:dyDescent="0.3">
      <c r="A106" s="36" t="s">
        <v>399</v>
      </c>
      <c r="B106" s="33" t="s">
        <v>62</v>
      </c>
      <c r="C106" s="34">
        <v>800</v>
      </c>
      <c r="D106" s="35">
        <v>1900000</v>
      </c>
      <c r="F106" s="12"/>
    </row>
    <row r="107" spans="1:6" ht="56.25" hidden="1" customHeight="1" x14ac:dyDescent="0.3">
      <c r="A107" s="32" t="s">
        <v>64</v>
      </c>
      <c r="B107" s="33" t="s">
        <v>63</v>
      </c>
      <c r="C107" s="34"/>
      <c r="D107" s="35"/>
    </row>
    <row r="108" spans="1:6" ht="8.25" hidden="1" customHeight="1" x14ac:dyDescent="0.3">
      <c r="A108" s="32" t="s">
        <v>66</v>
      </c>
      <c r="B108" s="33" t="s">
        <v>65</v>
      </c>
      <c r="C108" s="34"/>
      <c r="D108" s="35"/>
    </row>
    <row r="109" spans="1:6" s="5" customFormat="1" ht="54" customHeight="1" x14ac:dyDescent="0.3">
      <c r="A109" s="42" t="s">
        <v>268</v>
      </c>
      <c r="B109" s="24" t="s">
        <v>67</v>
      </c>
      <c r="C109" s="26"/>
      <c r="D109" s="27">
        <f>D110</f>
        <v>239612.49000000011</v>
      </c>
      <c r="F109" s="11"/>
    </row>
    <row r="110" spans="1:6" s="4" customFormat="1" ht="46.5" customHeight="1" x14ac:dyDescent="0.3">
      <c r="A110" s="40" t="s">
        <v>313</v>
      </c>
      <c r="B110" s="29" t="s">
        <v>68</v>
      </c>
      <c r="C110" s="30"/>
      <c r="D110" s="31">
        <f>SUM(D111:D112)</f>
        <v>239612.49000000011</v>
      </c>
      <c r="F110" s="12"/>
    </row>
    <row r="111" spans="1:6" ht="69" customHeight="1" x14ac:dyDescent="0.3">
      <c r="A111" s="36" t="s">
        <v>397</v>
      </c>
      <c r="B111" s="33" t="s">
        <v>69</v>
      </c>
      <c r="C111" s="34">
        <v>200</v>
      </c>
      <c r="D111" s="35">
        <f>2000000-1200000-564188.98</f>
        <v>235811.02000000002</v>
      </c>
    </row>
    <row r="112" spans="1:6" ht="110.25" customHeight="1" x14ac:dyDescent="0.3">
      <c r="A112" s="36" t="s">
        <v>554</v>
      </c>
      <c r="B112" s="33" t="s">
        <v>553</v>
      </c>
      <c r="C112" s="34">
        <v>200</v>
      </c>
      <c r="D112" s="35">
        <f>600000+3590779.31-629250.52-552900-756786-24500-375624-138212-1621345.69-88359.63</f>
        <v>3801.4700000000885</v>
      </c>
    </row>
    <row r="113" spans="1:6" s="5" customFormat="1" ht="66.75" customHeight="1" x14ac:dyDescent="0.3">
      <c r="A113" s="25" t="s">
        <v>175</v>
      </c>
      <c r="B113" s="24" t="s">
        <v>70</v>
      </c>
      <c r="C113" s="26"/>
      <c r="D113" s="27">
        <f>D114</f>
        <v>613478.84</v>
      </c>
      <c r="F113" s="11"/>
    </row>
    <row r="114" spans="1:6" s="4" customFormat="1" ht="63" customHeight="1" x14ac:dyDescent="0.3">
      <c r="A114" s="40" t="s">
        <v>471</v>
      </c>
      <c r="B114" s="29" t="s">
        <v>71</v>
      </c>
      <c r="C114" s="30"/>
      <c r="D114" s="31">
        <f>D115</f>
        <v>613478.84</v>
      </c>
      <c r="F114" s="12"/>
    </row>
    <row r="115" spans="1:6" ht="85.5" customHeight="1" x14ac:dyDescent="0.3">
      <c r="A115" s="32" t="s">
        <v>398</v>
      </c>
      <c r="B115" s="33" t="s">
        <v>72</v>
      </c>
      <c r="C115" s="34">
        <v>800</v>
      </c>
      <c r="D115" s="35">
        <f>1300000-600000-86521.16</f>
        <v>613478.84</v>
      </c>
    </row>
    <row r="116" spans="1:6" ht="91.5" customHeight="1" x14ac:dyDescent="0.3">
      <c r="A116" s="42" t="s">
        <v>489</v>
      </c>
      <c r="B116" s="24" t="s">
        <v>314</v>
      </c>
      <c r="C116" s="34"/>
      <c r="D116" s="27">
        <f>D117+D121+D123+D125</f>
        <v>3104548.38</v>
      </c>
    </row>
    <row r="117" spans="1:6" ht="45.75" customHeight="1" x14ac:dyDescent="0.3">
      <c r="A117" s="40" t="s">
        <v>490</v>
      </c>
      <c r="B117" s="29" t="s">
        <v>343</v>
      </c>
      <c r="C117" s="34"/>
      <c r="D117" s="31">
        <f>SUM(D118:D120)</f>
        <v>1133965.6499999999</v>
      </c>
    </row>
    <row r="118" spans="1:6" ht="108" customHeight="1" x14ac:dyDescent="0.3">
      <c r="A118" s="36" t="s">
        <v>491</v>
      </c>
      <c r="B118" s="41" t="s">
        <v>478</v>
      </c>
      <c r="C118" s="34">
        <v>500</v>
      </c>
      <c r="D118" s="35">
        <f>374832.5+124944.17+387915.02</f>
        <v>887691.69</v>
      </c>
    </row>
    <row r="119" spans="1:6" ht="87.75" customHeight="1" x14ac:dyDescent="0.3">
      <c r="A119" s="36" t="s">
        <v>396</v>
      </c>
      <c r="B119" s="33" t="s">
        <v>344</v>
      </c>
      <c r="C119" s="34">
        <v>200</v>
      </c>
      <c r="D119" s="35">
        <v>70000</v>
      </c>
    </row>
    <row r="120" spans="1:6" ht="90" customHeight="1" x14ac:dyDescent="0.3">
      <c r="A120" s="36" t="s">
        <v>559</v>
      </c>
      <c r="B120" s="33" t="s">
        <v>560</v>
      </c>
      <c r="C120" s="34">
        <v>200</v>
      </c>
      <c r="D120" s="35">
        <v>176273.96</v>
      </c>
    </row>
    <row r="121" spans="1:6" ht="74.25" customHeight="1" x14ac:dyDescent="0.3">
      <c r="A121" s="40" t="s">
        <v>437</v>
      </c>
      <c r="B121" s="29" t="s">
        <v>345</v>
      </c>
      <c r="C121" s="34"/>
      <c r="D121" s="31">
        <f>D122</f>
        <v>53961.599999999999</v>
      </c>
    </row>
    <row r="122" spans="1:6" ht="107.25" customHeight="1" x14ac:dyDescent="0.3">
      <c r="A122" s="36" t="s">
        <v>439</v>
      </c>
      <c r="B122" s="33" t="s">
        <v>346</v>
      </c>
      <c r="C122" s="34">
        <v>200</v>
      </c>
      <c r="D122" s="35">
        <f>54000-38.4</f>
        <v>53961.599999999999</v>
      </c>
    </row>
    <row r="123" spans="1:6" ht="46.5" customHeight="1" x14ac:dyDescent="0.3">
      <c r="A123" s="40" t="s">
        <v>438</v>
      </c>
      <c r="B123" s="29" t="s">
        <v>347</v>
      </c>
      <c r="C123" s="34"/>
      <c r="D123" s="31">
        <f>D124</f>
        <v>180038.39999999999</v>
      </c>
    </row>
    <row r="124" spans="1:6" ht="85.5" customHeight="1" x14ac:dyDescent="0.3">
      <c r="A124" s="36" t="s">
        <v>440</v>
      </c>
      <c r="B124" s="33" t="s">
        <v>348</v>
      </c>
      <c r="C124" s="34">
        <v>200</v>
      </c>
      <c r="D124" s="35">
        <f>180000+38.4</f>
        <v>180038.39999999999</v>
      </c>
    </row>
    <row r="125" spans="1:6" ht="49.5" customHeight="1" x14ac:dyDescent="0.3">
      <c r="A125" s="44" t="s">
        <v>441</v>
      </c>
      <c r="B125" s="29" t="s">
        <v>442</v>
      </c>
      <c r="C125" s="30"/>
      <c r="D125" s="31">
        <f>D126+D127</f>
        <v>1736582.73</v>
      </c>
    </row>
    <row r="126" spans="1:6" ht="86.25" customHeight="1" x14ac:dyDescent="0.3">
      <c r="A126" s="37" t="s">
        <v>443</v>
      </c>
      <c r="B126" s="34" t="s">
        <v>447</v>
      </c>
      <c r="C126" s="34">
        <v>200</v>
      </c>
      <c r="D126" s="35">
        <f>2000000-70300-13417.27-50000-200000</f>
        <v>1666282.73</v>
      </c>
    </row>
    <row r="127" spans="1:6" ht="100.5" customHeight="1" x14ac:dyDescent="0.3">
      <c r="A127" s="37" t="s">
        <v>570</v>
      </c>
      <c r="B127" s="34" t="s">
        <v>569</v>
      </c>
      <c r="C127" s="34">
        <v>200</v>
      </c>
      <c r="D127" s="35">
        <v>70300</v>
      </c>
    </row>
    <row r="128" spans="1:6" ht="109.5" customHeight="1" x14ac:dyDescent="0.3">
      <c r="A128" s="42" t="s">
        <v>315</v>
      </c>
      <c r="B128" s="24" t="s">
        <v>316</v>
      </c>
      <c r="C128" s="34"/>
      <c r="D128" s="27">
        <f>D129+D134</f>
        <v>467000</v>
      </c>
    </row>
    <row r="129" spans="1:6" ht="108.75" customHeight="1" x14ac:dyDescent="0.3">
      <c r="A129" s="40" t="s">
        <v>317</v>
      </c>
      <c r="B129" s="29" t="s">
        <v>318</v>
      </c>
      <c r="C129" s="34"/>
      <c r="D129" s="31">
        <f>SUM(D130:D133)</f>
        <v>467000</v>
      </c>
    </row>
    <row r="130" spans="1:6" ht="120" customHeight="1" x14ac:dyDescent="0.3">
      <c r="A130" s="36" t="s">
        <v>503</v>
      </c>
      <c r="B130" s="33" t="s">
        <v>502</v>
      </c>
      <c r="C130" s="34">
        <v>200</v>
      </c>
      <c r="D130" s="35">
        <v>147000</v>
      </c>
    </row>
    <row r="131" spans="1:6" ht="120" customHeight="1" x14ac:dyDescent="0.3">
      <c r="A131" s="36" t="s">
        <v>505</v>
      </c>
      <c r="B131" s="33" t="s">
        <v>504</v>
      </c>
      <c r="C131" s="34">
        <v>200</v>
      </c>
      <c r="D131" s="35">
        <v>120000</v>
      </c>
    </row>
    <row r="132" spans="1:6" ht="106.5" customHeight="1" x14ac:dyDescent="0.3">
      <c r="A132" s="36" t="s">
        <v>604</v>
      </c>
      <c r="B132" s="33" t="s">
        <v>602</v>
      </c>
      <c r="C132" s="34">
        <v>200</v>
      </c>
      <c r="D132" s="35">
        <v>60000</v>
      </c>
    </row>
    <row r="133" spans="1:6" ht="120" customHeight="1" x14ac:dyDescent="0.3">
      <c r="A133" s="36" t="s">
        <v>605</v>
      </c>
      <c r="B133" s="33" t="s">
        <v>603</v>
      </c>
      <c r="C133" s="34">
        <v>200</v>
      </c>
      <c r="D133" s="35">
        <v>140000</v>
      </c>
    </row>
    <row r="134" spans="1:6" ht="35.25" customHeight="1" x14ac:dyDescent="0.3">
      <c r="A134" s="45" t="s">
        <v>319</v>
      </c>
      <c r="B134" s="29" t="s">
        <v>320</v>
      </c>
      <c r="C134" s="34"/>
      <c r="D134" s="31">
        <f>D135</f>
        <v>0</v>
      </c>
    </row>
    <row r="135" spans="1:6" ht="64.5" customHeight="1" x14ac:dyDescent="0.3">
      <c r="A135" s="36" t="s">
        <v>395</v>
      </c>
      <c r="B135" s="33" t="s">
        <v>321</v>
      </c>
      <c r="C135" s="34">
        <v>800</v>
      </c>
      <c r="D135" s="35">
        <v>0</v>
      </c>
    </row>
    <row r="136" spans="1:6" ht="68.25" customHeight="1" x14ac:dyDescent="0.3">
      <c r="A136" s="46" t="s">
        <v>485</v>
      </c>
      <c r="B136" s="24" t="s">
        <v>349</v>
      </c>
      <c r="C136" s="34"/>
      <c r="D136" s="27">
        <f>D137</f>
        <v>3444197.62</v>
      </c>
    </row>
    <row r="137" spans="1:6" ht="50.25" customHeight="1" x14ac:dyDescent="0.3">
      <c r="A137" s="40" t="s">
        <v>486</v>
      </c>
      <c r="B137" s="29" t="s">
        <v>350</v>
      </c>
      <c r="C137" s="34"/>
      <c r="D137" s="31">
        <f>SUM(D138:D139)</f>
        <v>3444197.62</v>
      </c>
    </row>
    <row r="138" spans="1:6" ht="105" customHeight="1" x14ac:dyDescent="0.3">
      <c r="A138" s="36" t="s">
        <v>487</v>
      </c>
      <c r="B138" s="33" t="s">
        <v>351</v>
      </c>
      <c r="C138" s="34">
        <v>200</v>
      </c>
      <c r="D138" s="35">
        <f>2216031-1485191.31+1485191.31</f>
        <v>2216031</v>
      </c>
    </row>
    <row r="139" spans="1:6" ht="81" customHeight="1" x14ac:dyDescent="0.3">
      <c r="A139" s="36" t="s">
        <v>488</v>
      </c>
      <c r="B139" s="33" t="s">
        <v>469</v>
      </c>
      <c r="C139" s="34">
        <v>200</v>
      </c>
      <c r="D139" s="35">
        <f>2003969-374832.5-400969.88</f>
        <v>1228166.6200000001</v>
      </c>
    </row>
    <row r="140" spans="1:6" s="5" customFormat="1" ht="67.5" customHeight="1" x14ac:dyDescent="0.3">
      <c r="A140" s="25" t="s">
        <v>269</v>
      </c>
      <c r="B140" s="24" t="s">
        <v>73</v>
      </c>
      <c r="C140" s="26"/>
      <c r="D140" s="27">
        <f>D141+D151+D159+D164+D167+D171</f>
        <v>22726176.41</v>
      </c>
      <c r="F140" s="11"/>
    </row>
    <row r="141" spans="1:6" s="5" customFormat="1" ht="56.25" customHeight="1" x14ac:dyDescent="0.3">
      <c r="A141" s="25" t="s">
        <v>270</v>
      </c>
      <c r="B141" s="24" t="s">
        <v>74</v>
      </c>
      <c r="C141" s="26"/>
      <c r="D141" s="27">
        <f>D142+D148</f>
        <v>17587049</v>
      </c>
      <c r="F141" s="11"/>
    </row>
    <row r="142" spans="1:6" s="4" customFormat="1" ht="44.25" customHeight="1" x14ac:dyDescent="0.3">
      <c r="A142" s="28" t="s">
        <v>76</v>
      </c>
      <c r="B142" s="29" t="s">
        <v>75</v>
      </c>
      <c r="C142" s="30"/>
      <c r="D142" s="31">
        <f>SUM(D143:D147)</f>
        <v>12070460.000000002</v>
      </c>
      <c r="F142" s="12"/>
    </row>
    <row r="143" spans="1:6" ht="126.75" customHeight="1" x14ac:dyDescent="0.3">
      <c r="A143" s="32" t="s">
        <v>180</v>
      </c>
      <c r="B143" s="33" t="s">
        <v>77</v>
      </c>
      <c r="C143" s="34">
        <v>100</v>
      </c>
      <c r="D143" s="35">
        <f>8254904+493420.9-12750-30000-57000-30000-177000-13020</f>
        <v>8428554.9000000004</v>
      </c>
    </row>
    <row r="144" spans="1:6" ht="87" customHeight="1" x14ac:dyDescent="0.3">
      <c r="A144" s="32" t="s">
        <v>207</v>
      </c>
      <c r="B144" s="33" t="s">
        <v>77</v>
      </c>
      <c r="C144" s="34">
        <v>200</v>
      </c>
      <c r="D144" s="35">
        <f>1973000+20000+255556+13635.62+24000+30000+57000+30000+74476.52+177000+18450+119146.58</f>
        <v>2792264.72</v>
      </c>
    </row>
    <row r="145" spans="1:6" ht="66" customHeight="1" x14ac:dyDescent="0.3">
      <c r="A145" s="32" t="s">
        <v>198</v>
      </c>
      <c r="B145" s="33" t="s">
        <v>77</v>
      </c>
      <c r="C145" s="34">
        <v>800</v>
      </c>
      <c r="D145" s="35">
        <f>42000-13635.62-5430</f>
        <v>22934.379999999997</v>
      </c>
    </row>
    <row r="146" spans="1:6" ht="151.5" customHeight="1" x14ac:dyDescent="0.3">
      <c r="A146" s="32" t="s">
        <v>181</v>
      </c>
      <c r="B146" s="33" t="s">
        <v>78</v>
      </c>
      <c r="C146" s="34">
        <v>100</v>
      </c>
      <c r="D146" s="35">
        <v>444816</v>
      </c>
    </row>
    <row r="147" spans="1:6" ht="105.75" customHeight="1" x14ac:dyDescent="0.3">
      <c r="A147" s="32" t="s">
        <v>208</v>
      </c>
      <c r="B147" s="33" t="s">
        <v>78</v>
      </c>
      <c r="C147" s="34">
        <v>200</v>
      </c>
      <c r="D147" s="35">
        <v>381890</v>
      </c>
    </row>
    <row r="148" spans="1:6" s="4" customFormat="1" ht="69" customHeight="1" x14ac:dyDescent="0.3">
      <c r="A148" s="28" t="s">
        <v>271</v>
      </c>
      <c r="B148" s="29" t="s">
        <v>79</v>
      </c>
      <c r="C148" s="30"/>
      <c r="D148" s="31">
        <f>SUM(D149:D150)</f>
        <v>5516589</v>
      </c>
      <c r="F148" s="12"/>
    </row>
    <row r="149" spans="1:6" s="4" customFormat="1" ht="191.25" customHeight="1" x14ac:dyDescent="0.3">
      <c r="A149" s="36" t="s">
        <v>507</v>
      </c>
      <c r="B149" s="34" t="s">
        <v>506</v>
      </c>
      <c r="C149" s="34">
        <v>100</v>
      </c>
      <c r="D149" s="35">
        <f>1926813+1262183+384030</f>
        <v>3573026</v>
      </c>
      <c r="F149" s="12"/>
    </row>
    <row r="150" spans="1:6" ht="186.75" customHeight="1" x14ac:dyDescent="0.3">
      <c r="A150" s="32" t="s">
        <v>322</v>
      </c>
      <c r="B150" s="33" t="s">
        <v>80</v>
      </c>
      <c r="C150" s="34">
        <v>100</v>
      </c>
      <c r="D150" s="35">
        <f>1107335+819478+12750+4000</f>
        <v>1943563</v>
      </c>
    </row>
    <row r="151" spans="1:6" s="5" customFormat="1" ht="46.5" customHeight="1" x14ac:dyDescent="0.3">
      <c r="A151" s="25" t="s">
        <v>82</v>
      </c>
      <c r="B151" s="24" t="s">
        <v>81</v>
      </c>
      <c r="C151" s="26"/>
      <c r="D151" s="27">
        <f>D152+D154</f>
        <v>3908530.41</v>
      </c>
      <c r="F151" s="11"/>
    </row>
    <row r="152" spans="1:6" s="4" customFormat="1" ht="46.5" customHeight="1" x14ac:dyDescent="0.3">
      <c r="A152" s="28" t="s">
        <v>84</v>
      </c>
      <c r="B152" s="29" t="s">
        <v>83</v>
      </c>
      <c r="C152" s="30"/>
      <c r="D152" s="31">
        <f>D153</f>
        <v>3497939.41</v>
      </c>
      <c r="F152" s="12"/>
    </row>
    <row r="153" spans="1:6" ht="87.75" customHeight="1" x14ac:dyDescent="0.3">
      <c r="A153" s="32" t="s">
        <v>193</v>
      </c>
      <c r="B153" s="33" t="s">
        <v>85</v>
      </c>
      <c r="C153" s="34">
        <v>600</v>
      </c>
      <c r="D153" s="35">
        <f>3456821+41118.41</f>
        <v>3497939.41</v>
      </c>
    </row>
    <row r="154" spans="1:6" s="4" customFormat="1" ht="65.25" customHeight="1" x14ac:dyDescent="0.3">
      <c r="A154" s="28" t="s">
        <v>87</v>
      </c>
      <c r="B154" s="29" t="s">
        <v>86</v>
      </c>
      <c r="C154" s="30"/>
      <c r="D154" s="31">
        <f>SUM(D155:D158)</f>
        <v>410591</v>
      </c>
      <c r="F154" s="12"/>
    </row>
    <row r="155" spans="1:6" ht="162.75" customHeight="1" x14ac:dyDescent="0.3">
      <c r="A155" s="32" t="s">
        <v>194</v>
      </c>
      <c r="B155" s="33" t="s">
        <v>202</v>
      </c>
      <c r="C155" s="34">
        <v>600</v>
      </c>
      <c r="D155" s="35">
        <f>305300-228977</f>
        <v>76323</v>
      </c>
    </row>
    <row r="156" spans="1:6" ht="15" hidden="1" customHeight="1" x14ac:dyDescent="0.3">
      <c r="A156" s="32"/>
      <c r="B156" s="33"/>
      <c r="C156" s="34"/>
      <c r="D156" s="35"/>
    </row>
    <row r="157" spans="1:6" ht="169.5" customHeight="1" x14ac:dyDescent="0.3">
      <c r="A157" s="32" t="s">
        <v>510</v>
      </c>
      <c r="B157" s="33" t="s">
        <v>508</v>
      </c>
      <c r="C157" s="34">
        <v>600</v>
      </c>
      <c r="D157" s="35">
        <v>55291</v>
      </c>
    </row>
    <row r="158" spans="1:6" ht="162" customHeight="1" x14ac:dyDescent="0.3">
      <c r="A158" s="32" t="s">
        <v>511</v>
      </c>
      <c r="B158" s="33" t="s">
        <v>509</v>
      </c>
      <c r="C158" s="34">
        <v>600</v>
      </c>
      <c r="D158" s="35">
        <f>228977+50000</f>
        <v>278977</v>
      </c>
    </row>
    <row r="159" spans="1:6" s="5" customFormat="1" ht="45.75" customHeight="1" x14ac:dyDescent="0.3">
      <c r="A159" s="25" t="s">
        <v>89</v>
      </c>
      <c r="B159" s="24" t="s">
        <v>88</v>
      </c>
      <c r="C159" s="26"/>
      <c r="D159" s="27">
        <f>D160</f>
        <v>382463</v>
      </c>
      <c r="F159" s="11"/>
    </row>
    <row r="160" spans="1:6" s="4" customFormat="1" ht="50.25" customHeight="1" x14ac:dyDescent="0.3">
      <c r="A160" s="28" t="s">
        <v>91</v>
      </c>
      <c r="B160" s="29" t="s">
        <v>90</v>
      </c>
      <c r="C160" s="30"/>
      <c r="D160" s="31">
        <f>SUM(D161:D163)</f>
        <v>382463</v>
      </c>
      <c r="F160" s="12"/>
    </row>
    <row r="161" spans="1:6" ht="124.5" customHeight="1" x14ac:dyDescent="0.3">
      <c r="A161" s="32" t="s">
        <v>209</v>
      </c>
      <c r="B161" s="33" t="s">
        <v>92</v>
      </c>
      <c r="C161" s="34">
        <v>200</v>
      </c>
      <c r="D161" s="35">
        <f>220000+153000</f>
        <v>373000</v>
      </c>
    </row>
    <row r="162" spans="1:6" ht="88.5" customHeight="1" x14ac:dyDescent="0.3">
      <c r="A162" s="32" t="s">
        <v>550</v>
      </c>
      <c r="B162" s="33" t="s">
        <v>548</v>
      </c>
      <c r="C162" s="34">
        <v>200</v>
      </c>
      <c r="D162" s="35">
        <v>8963</v>
      </c>
    </row>
    <row r="163" spans="1:6" ht="90" customHeight="1" x14ac:dyDescent="0.3">
      <c r="A163" s="32" t="s">
        <v>550</v>
      </c>
      <c r="B163" s="33" t="s">
        <v>549</v>
      </c>
      <c r="C163" s="34">
        <v>200</v>
      </c>
      <c r="D163" s="35">
        <v>500</v>
      </c>
    </row>
    <row r="164" spans="1:6" s="5" customFormat="1" ht="87" customHeight="1" x14ac:dyDescent="0.3">
      <c r="A164" s="25" t="s">
        <v>473</v>
      </c>
      <c r="B164" s="24" t="s">
        <v>93</v>
      </c>
      <c r="C164" s="26"/>
      <c r="D164" s="27">
        <f>D165</f>
        <v>30000</v>
      </c>
      <c r="F164" s="11"/>
    </row>
    <row r="165" spans="1:6" s="4" customFormat="1" ht="66" customHeight="1" x14ac:dyDescent="0.3">
      <c r="A165" s="28" t="s">
        <v>95</v>
      </c>
      <c r="B165" s="29" t="s">
        <v>94</v>
      </c>
      <c r="C165" s="30"/>
      <c r="D165" s="31">
        <f>D166</f>
        <v>30000</v>
      </c>
      <c r="F165" s="12"/>
    </row>
    <row r="166" spans="1:6" ht="74.25" customHeight="1" x14ac:dyDescent="0.3">
      <c r="A166" s="32" t="s">
        <v>210</v>
      </c>
      <c r="B166" s="33" t="s">
        <v>96</v>
      </c>
      <c r="C166" s="34">
        <v>200</v>
      </c>
      <c r="D166" s="35">
        <v>30000</v>
      </c>
    </row>
    <row r="167" spans="1:6" s="5" customFormat="1" ht="67.5" customHeight="1" x14ac:dyDescent="0.3">
      <c r="A167" s="25" t="s">
        <v>432</v>
      </c>
      <c r="B167" s="24" t="s">
        <v>97</v>
      </c>
      <c r="C167" s="26"/>
      <c r="D167" s="27">
        <f>D168</f>
        <v>548334</v>
      </c>
      <c r="F167" s="11"/>
    </row>
    <row r="168" spans="1:6" s="4" customFormat="1" ht="49.5" customHeight="1" x14ac:dyDescent="0.3">
      <c r="A168" s="28" t="s">
        <v>272</v>
      </c>
      <c r="B168" s="29" t="s">
        <v>98</v>
      </c>
      <c r="C168" s="30"/>
      <c r="D168" s="31">
        <f>SUM(D169:D170)</f>
        <v>548334</v>
      </c>
      <c r="F168" s="12"/>
    </row>
    <row r="169" spans="1:6" ht="86.25" customHeight="1" x14ac:dyDescent="0.3">
      <c r="A169" s="36" t="s">
        <v>400</v>
      </c>
      <c r="B169" s="33" t="s">
        <v>323</v>
      </c>
      <c r="C169" s="34">
        <v>600</v>
      </c>
      <c r="D169" s="35">
        <f>240000+163334+45000</f>
        <v>448334</v>
      </c>
    </row>
    <row r="170" spans="1:6" ht="111" customHeight="1" x14ac:dyDescent="0.3">
      <c r="A170" s="32" t="s">
        <v>273</v>
      </c>
      <c r="B170" s="33" t="s">
        <v>232</v>
      </c>
      <c r="C170" s="34">
        <v>200</v>
      </c>
      <c r="D170" s="35">
        <v>100000</v>
      </c>
    </row>
    <row r="171" spans="1:6" ht="68.25" customHeight="1" x14ac:dyDescent="0.3">
      <c r="A171" s="42" t="s">
        <v>470</v>
      </c>
      <c r="B171" s="24" t="s">
        <v>324</v>
      </c>
      <c r="C171" s="34"/>
      <c r="D171" s="27">
        <f>D172+D176+D178+D180</f>
        <v>269800</v>
      </c>
    </row>
    <row r="172" spans="1:6" ht="51" customHeight="1" x14ac:dyDescent="0.3">
      <c r="A172" s="40" t="s">
        <v>325</v>
      </c>
      <c r="B172" s="29" t="s">
        <v>326</v>
      </c>
      <c r="C172" s="34"/>
      <c r="D172" s="31">
        <f>SUM(D173:D175)</f>
        <v>199800</v>
      </c>
    </row>
    <row r="173" spans="1:6" ht="87" customHeight="1" x14ac:dyDescent="0.3">
      <c r="A173" s="36" t="s">
        <v>401</v>
      </c>
      <c r="B173" s="33" t="s">
        <v>327</v>
      </c>
      <c r="C173" s="34">
        <v>200</v>
      </c>
      <c r="D173" s="35">
        <f>165000+20000-20000-10000</f>
        <v>155000</v>
      </c>
    </row>
    <row r="174" spans="1:6" ht="87" customHeight="1" x14ac:dyDescent="0.3">
      <c r="A174" s="36" t="s">
        <v>539</v>
      </c>
      <c r="B174" s="33" t="s">
        <v>540</v>
      </c>
      <c r="C174" s="34">
        <v>200</v>
      </c>
      <c r="D174" s="35">
        <v>20000</v>
      </c>
    </row>
    <row r="175" spans="1:6" ht="87" customHeight="1" x14ac:dyDescent="0.3">
      <c r="A175" s="36" t="s">
        <v>541</v>
      </c>
      <c r="B175" s="33" t="s">
        <v>542</v>
      </c>
      <c r="C175" s="34">
        <v>200</v>
      </c>
      <c r="D175" s="35">
        <v>24800</v>
      </c>
    </row>
    <row r="176" spans="1:6" ht="53.25" customHeight="1" x14ac:dyDescent="0.3">
      <c r="A176" s="40" t="s">
        <v>328</v>
      </c>
      <c r="B176" s="29" t="s">
        <v>329</v>
      </c>
      <c r="C176" s="34"/>
      <c r="D176" s="31">
        <f>D177</f>
        <v>50000</v>
      </c>
    </row>
    <row r="177" spans="1:6" ht="80.25" customHeight="1" x14ac:dyDescent="0.3">
      <c r="A177" s="36" t="s">
        <v>402</v>
      </c>
      <c r="B177" s="33" t="s">
        <v>330</v>
      </c>
      <c r="C177" s="34">
        <v>600</v>
      </c>
      <c r="D177" s="35">
        <v>50000</v>
      </c>
    </row>
    <row r="178" spans="1:6" ht="53.25" customHeight="1" x14ac:dyDescent="0.3">
      <c r="A178" s="40" t="s">
        <v>331</v>
      </c>
      <c r="B178" s="29" t="s">
        <v>332</v>
      </c>
      <c r="C178" s="34"/>
      <c r="D178" s="31">
        <f>D179</f>
        <v>12000</v>
      </c>
    </row>
    <row r="179" spans="1:6" ht="66.75" customHeight="1" x14ac:dyDescent="0.3">
      <c r="A179" s="36" t="s">
        <v>403</v>
      </c>
      <c r="B179" s="33" t="s">
        <v>333</v>
      </c>
      <c r="C179" s="34">
        <v>600</v>
      </c>
      <c r="D179" s="35">
        <f>4000+8000</f>
        <v>12000</v>
      </c>
    </row>
    <row r="180" spans="1:6" ht="50.25" customHeight="1" x14ac:dyDescent="0.3">
      <c r="A180" s="40" t="s">
        <v>166</v>
      </c>
      <c r="B180" s="29" t="s">
        <v>334</v>
      </c>
      <c r="C180" s="30"/>
      <c r="D180" s="31">
        <f>D181</f>
        <v>8000</v>
      </c>
    </row>
    <row r="181" spans="1:6" ht="88.5" customHeight="1" x14ac:dyDescent="0.3">
      <c r="A181" s="36" t="s">
        <v>404</v>
      </c>
      <c r="B181" s="33" t="s">
        <v>335</v>
      </c>
      <c r="C181" s="34">
        <v>600</v>
      </c>
      <c r="D181" s="35">
        <f>5000+3000</f>
        <v>8000</v>
      </c>
    </row>
    <row r="182" spans="1:6" s="5" customFormat="1" ht="109.5" customHeight="1" x14ac:dyDescent="0.3">
      <c r="A182" s="25" t="s">
        <v>352</v>
      </c>
      <c r="B182" s="24" t="s">
        <v>99</v>
      </c>
      <c r="C182" s="26"/>
      <c r="D182" s="27">
        <f>D183+D189+D195</f>
        <v>2802719.96</v>
      </c>
      <c r="F182" s="11"/>
    </row>
    <row r="183" spans="1:6" s="5" customFormat="1" ht="53.25" customHeight="1" x14ac:dyDescent="0.3">
      <c r="A183" s="25" t="s">
        <v>274</v>
      </c>
      <c r="B183" s="24" t="s">
        <v>100</v>
      </c>
      <c r="C183" s="26"/>
      <c r="D183" s="27">
        <f>D184</f>
        <v>307900</v>
      </c>
      <c r="F183" s="11"/>
    </row>
    <row r="184" spans="1:6" s="4" customFormat="1" ht="66.75" customHeight="1" x14ac:dyDescent="0.3">
      <c r="A184" s="40" t="s">
        <v>353</v>
      </c>
      <c r="B184" s="29" t="s">
        <v>354</v>
      </c>
      <c r="C184" s="30"/>
      <c r="D184" s="31">
        <f>SUM(D185:D188)</f>
        <v>307900</v>
      </c>
      <c r="F184" s="12"/>
    </row>
    <row r="185" spans="1:6" ht="107.25" customHeight="1" x14ac:dyDescent="0.3">
      <c r="A185" s="32" t="s">
        <v>211</v>
      </c>
      <c r="B185" s="33" t="s">
        <v>355</v>
      </c>
      <c r="C185" s="34">
        <v>200</v>
      </c>
      <c r="D185" s="35">
        <v>18800</v>
      </c>
    </row>
    <row r="186" spans="1:6" ht="108" customHeight="1" x14ac:dyDescent="0.3">
      <c r="A186" s="32" t="s">
        <v>212</v>
      </c>
      <c r="B186" s="33" t="s">
        <v>356</v>
      </c>
      <c r="C186" s="34">
        <v>200</v>
      </c>
      <c r="D186" s="35">
        <v>4300</v>
      </c>
    </row>
    <row r="187" spans="1:6" ht="109.5" customHeight="1" x14ac:dyDescent="0.3">
      <c r="A187" s="32" t="s">
        <v>275</v>
      </c>
      <c r="B187" s="33" t="s">
        <v>357</v>
      </c>
      <c r="C187" s="34">
        <v>200</v>
      </c>
      <c r="D187" s="35">
        <f>204800+15000+45000</f>
        <v>264800</v>
      </c>
    </row>
    <row r="188" spans="1:6" ht="79.5" customHeight="1" x14ac:dyDescent="0.3">
      <c r="A188" s="32" t="s">
        <v>551</v>
      </c>
      <c r="B188" s="33" t="s">
        <v>552</v>
      </c>
      <c r="C188" s="34">
        <v>200</v>
      </c>
      <c r="D188" s="35">
        <f>20000</f>
        <v>20000</v>
      </c>
    </row>
    <row r="189" spans="1:6" s="5" customFormat="1" ht="54.75" customHeight="1" x14ac:dyDescent="0.3">
      <c r="A189" s="25" t="s">
        <v>276</v>
      </c>
      <c r="B189" s="24" t="s">
        <v>101</v>
      </c>
      <c r="C189" s="26"/>
      <c r="D189" s="27">
        <f>D190</f>
        <v>431000</v>
      </c>
      <c r="F189" s="11"/>
    </row>
    <row r="190" spans="1:6" s="4" customFormat="1" ht="66.75" customHeight="1" x14ac:dyDescent="0.3">
      <c r="A190" s="40" t="s">
        <v>358</v>
      </c>
      <c r="B190" s="29" t="s">
        <v>359</v>
      </c>
      <c r="C190" s="30"/>
      <c r="D190" s="31">
        <f>SUM(D191:D194)</f>
        <v>431000</v>
      </c>
      <c r="F190" s="12"/>
    </row>
    <row r="191" spans="1:6" s="4" customFormat="1" ht="144" customHeight="1" x14ac:dyDescent="0.3">
      <c r="A191" s="47" t="s">
        <v>563</v>
      </c>
      <c r="B191" s="33" t="s">
        <v>360</v>
      </c>
      <c r="C191" s="34">
        <v>100</v>
      </c>
      <c r="D191" s="35">
        <v>30000</v>
      </c>
      <c r="F191" s="12"/>
    </row>
    <row r="192" spans="1:6" ht="95.25" customHeight="1" x14ac:dyDescent="0.3">
      <c r="A192" s="47" t="s">
        <v>451</v>
      </c>
      <c r="B192" s="33" t="s">
        <v>360</v>
      </c>
      <c r="C192" s="34">
        <v>200</v>
      </c>
      <c r="D192" s="35">
        <f>110300-5000+30000-30000</f>
        <v>105300</v>
      </c>
    </row>
    <row r="193" spans="1:6" ht="72" customHeight="1" x14ac:dyDescent="0.3">
      <c r="A193" s="47" t="s">
        <v>525</v>
      </c>
      <c r="B193" s="33" t="s">
        <v>360</v>
      </c>
      <c r="C193" s="34">
        <v>800</v>
      </c>
      <c r="D193" s="35">
        <f>5000+20000-20000+20000</f>
        <v>25000</v>
      </c>
    </row>
    <row r="194" spans="1:6" ht="88.5" customHeight="1" x14ac:dyDescent="0.3">
      <c r="A194" s="36" t="s">
        <v>472</v>
      </c>
      <c r="B194" s="33" t="s">
        <v>452</v>
      </c>
      <c r="C194" s="34">
        <v>600</v>
      </c>
      <c r="D194" s="35">
        <v>270700</v>
      </c>
    </row>
    <row r="195" spans="1:6" ht="69.75" customHeight="1" x14ac:dyDescent="0.3">
      <c r="A195" s="42" t="s">
        <v>362</v>
      </c>
      <c r="B195" s="24" t="s">
        <v>361</v>
      </c>
      <c r="C195" s="34"/>
      <c r="D195" s="27">
        <f>D197</f>
        <v>2063819.96</v>
      </c>
    </row>
    <row r="196" spans="1:6" ht="12" hidden="1" customHeight="1" x14ac:dyDescent="0.3">
      <c r="A196" s="32" t="s">
        <v>195</v>
      </c>
      <c r="B196" s="33"/>
      <c r="C196" s="34"/>
      <c r="D196" s="35"/>
    </row>
    <row r="197" spans="1:6" ht="68.25" customHeight="1" x14ac:dyDescent="0.3">
      <c r="A197" s="40" t="s">
        <v>363</v>
      </c>
      <c r="B197" s="29" t="s">
        <v>364</v>
      </c>
      <c r="C197" s="34"/>
      <c r="D197" s="31">
        <f>SUM(D198:D205)</f>
        <v>2063819.96</v>
      </c>
    </row>
    <row r="198" spans="1:6" ht="124.5" customHeight="1" x14ac:dyDescent="0.3">
      <c r="A198" s="36" t="s">
        <v>409</v>
      </c>
      <c r="B198" s="33" t="s">
        <v>433</v>
      </c>
      <c r="C198" s="34">
        <v>100</v>
      </c>
      <c r="D198" s="35">
        <f>1266271.93+36919.07+1863.14+198300.82</f>
        <v>1503354.96</v>
      </c>
    </row>
    <row r="199" spans="1:6" ht="87" customHeight="1" x14ac:dyDescent="0.3">
      <c r="A199" s="36" t="s">
        <v>408</v>
      </c>
      <c r="B199" s="33" t="s">
        <v>433</v>
      </c>
      <c r="C199" s="34">
        <v>200</v>
      </c>
      <c r="D199" s="35">
        <f>104185+25000+85000+1780-12000</f>
        <v>203965</v>
      </c>
    </row>
    <row r="200" spans="1:6" ht="69.75" customHeight="1" x14ac:dyDescent="0.3">
      <c r="A200" s="36" t="s">
        <v>446</v>
      </c>
      <c r="B200" s="33" t="s">
        <v>433</v>
      </c>
      <c r="C200" s="34">
        <v>800</v>
      </c>
      <c r="D200" s="35">
        <v>1500</v>
      </c>
    </row>
    <row r="201" spans="1:6" s="4" customFormat="1" ht="65.25" customHeight="1" x14ac:dyDescent="0.3">
      <c r="A201" s="36" t="s">
        <v>405</v>
      </c>
      <c r="B201" s="33" t="s">
        <v>365</v>
      </c>
      <c r="C201" s="34">
        <v>200</v>
      </c>
      <c r="D201" s="35">
        <v>10000</v>
      </c>
      <c r="F201" s="12"/>
    </row>
    <row r="202" spans="1:6" ht="68.25" customHeight="1" x14ac:dyDescent="0.3">
      <c r="A202" s="36" t="s">
        <v>406</v>
      </c>
      <c r="B202" s="33" t="s">
        <v>366</v>
      </c>
      <c r="C202" s="34">
        <v>200</v>
      </c>
      <c r="D202" s="35">
        <v>10000</v>
      </c>
    </row>
    <row r="203" spans="1:6" ht="89.25" customHeight="1" x14ac:dyDescent="0.3">
      <c r="A203" s="36" t="s">
        <v>407</v>
      </c>
      <c r="B203" s="33" t="s">
        <v>367</v>
      </c>
      <c r="C203" s="34">
        <v>200</v>
      </c>
      <c r="D203" s="35">
        <f>121000+10000+90000+50000+20000</f>
        <v>291000</v>
      </c>
    </row>
    <row r="204" spans="1:6" ht="49.5" customHeight="1" x14ac:dyDescent="0.3">
      <c r="A204" s="48" t="s">
        <v>461</v>
      </c>
      <c r="B204" s="33" t="s">
        <v>367</v>
      </c>
      <c r="C204" s="34">
        <v>800</v>
      </c>
      <c r="D204" s="35">
        <f>20000-20000</f>
        <v>0</v>
      </c>
    </row>
    <row r="205" spans="1:6" ht="100.5" customHeight="1" x14ac:dyDescent="0.3">
      <c r="A205" s="36" t="s">
        <v>592</v>
      </c>
      <c r="B205" s="33" t="s">
        <v>368</v>
      </c>
      <c r="C205" s="34">
        <v>600</v>
      </c>
      <c r="D205" s="35">
        <v>44000</v>
      </c>
    </row>
    <row r="206" spans="1:6" s="5" customFormat="1" ht="65.25" customHeight="1" x14ac:dyDescent="0.3">
      <c r="A206" s="25" t="s">
        <v>277</v>
      </c>
      <c r="B206" s="24" t="s">
        <v>102</v>
      </c>
      <c r="C206" s="26"/>
      <c r="D206" s="27">
        <f>D207+D213+D218+D222</f>
        <v>2024666.67</v>
      </c>
      <c r="F206" s="11"/>
    </row>
    <row r="207" spans="1:6" s="5" customFormat="1" ht="46.5" customHeight="1" x14ac:dyDescent="0.3">
      <c r="A207" s="25" t="s">
        <v>278</v>
      </c>
      <c r="B207" s="24" t="s">
        <v>103</v>
      </c>
      <c r="C207" s="26"/>
      <c r="D207" s="27">
        <f>D208</f>
        <v>135000</v>
      </c>
      <c r="F207" s="11"/>
    </row>
    <row r="208" spans="1:6" s="4" customFormat="1" ht="55.5" customHeight="1" x14ac:dyDescent="0.3">
      <c r="A208" s="28" t="s">
        <v>279</v>
      </c>
      <c r="B208" s="29" t="s">
        <v>104</v>
      </c>
      <c r="C208" s="30"/>
      <c r="D208" s="31">
        <f>SUM(D209:D212)</f>
        <v>135000</v>
      </c>
      <c r="F208" s="12"/>
    </row>
    <row r="209" spans="1:6" ht="111" customHeight="1" x14ac:dyDescent="0.3">
      <c r="A209" s="36" t="s">
        <v>411</v>
      </c>
      <c r="B209" s="33" t="s">
        <v>105</v>
      </c>
      <c r="C209" s="34">
        <v>800</v>
      </c>
      <c r="D209" s="35">
        <v>45000</v>
      </c>
    </row>
    <row r="210" spans="1:6" ht="111" customHeight="1" x14ac:dyDescent="0.3">
      <c r="A210" s="36" t="s">
        <v>413</v>
      </c>
      <c r="B210" s="33" t="s">
        <v>106</v>
      </c>
      <c r="C210" s="34">
        <v>800</v>
      </c>
      <c r="D210" s="35">
        <v>45000</v>
      </c>
    </row>
    <row r="211" spans="1:6" ht="111" customHeight="1" x14ac:dyDescent="0.3">
      <c r="A211" s="36" t="s">
        <v>410</v>
      </c>
      <c r="B211" s="33" t="s">
        <v>369</v>
      </c>
      <c r="C211" s="34">
        <v>800</v>
      </c>
      <c r="D211" s="35">
        <v>20000</v>
      </c>
    </row>
    <row r="212" spans="1:6" ht="87" customHeight="1" x14ac:dyDescent="0.3">
      <c r="A212" s="36" t="s">
        <v>412</v>
      </c>
      <c r="B212" s="33" t="s">
        <v>370</v>
      </c>
      <c r="C212" s="34">
        <v>800</v>
      </c>
      <c r="D212" s="35">
        <v>25000</v>
      </c>
    </row>
    <row r="213" spans="1:6" s="5" customFormat="1" ht="72" customHeight="1" x14ac:dyDescent="0.3">
      <c r="A213" s="25" t="s">
        <v>280</v>
      </c>
      <c r="B213" s="24" t="s">
        <v>107</v>
      </c>
      <c r="C213" s="26"/>
      <c r="D213" s="27">
        <f>D214</f>
        <v>1135166.67</v>
      </c>
      <c r="F213" s="11"/>
    </row>
    <row r="214" spans="1:6" s="4" customFormat="1" ht="50.25" customHeight="1" x14ac:dyDescent="0.3">
      <c r="A214" s="28" t="s">
        <v>281</v>
      </c>
      <c r="B214" s="29" t="s">
        <v>108</v>
      </c>
      <c r="C214" s="30"/>
      <c r="D214" s="31">
        <f>SUM(D215:D217)</f>
        <v>1135166.67</v>
      </c>
      <c r="F214" s="12"/>
    </row>
    <row r="215" spans="1:6" ht="111.75" customHeight="1" x14ac:dyDescent="0.3">
      <c r="A215" s="32" t="s">
        <v>282</v>
      </c>
      <c r="B215" s="33" t="s">
        <v>109</v>
      </c>
      <c r="C215" s="34">
        <v>200</v>
      </c>
      <c r="D215" s="35">
        <f>240000+168733.33+60766.67</f>
        <v>469499.99999999994</v>
      </c>
    </row>
    <row r="216" spans="1:6" ht="77.25" customHeight="1" x14ac:dyDescent="0.3">
      <c r="A216" s="32" t="s">
        <v>564</v>
      </c>
      <c r="B216" s="33" t="s">
        <v>565</v>
      </c>
      <c r="C216" s="34">
        <v>200</v>
      </c>
      <c r="D216" s="35">
        <v>281666.67</v>
      </c>
    </row>
    <row r="217" spans="1:6" ht="66.75" customHeight="1" x14ac:dyDescent="0.3">
      <c r="A217" s="36" t="s">
        <v>414</v>
      </c>
      <c r="B217" s="33" t="s">
        <v>371</v>
      </c>
      <c r="C217" s="34">
        <v>200</v>
      </c>
      <c r="D217" s="35">
        <v>384000</v>
      </c>
    </row>
    <row r="218" spans="1:6" s="5" customFormat="1" ht="90" customHeight="1" x14ac:dyDescent="0.3">
      <c r="A218" s="25" t="s">
        <v>283</v>
      </c>
      <c r="B218" s="24" t="s">
        <v>110</v>
      </c>
      <c r="C218" s="26"/>
      <c r="D218" s="27">
        <f>D219</f>
        <v>244500</v>
      </c>
      <c r="F218" s="11"/>
    </row>
    <row r="219" spans="1:6" s="4" customFormat="1" ht="47.25" customHeight="1" x14ac:dyDescent="0.3">
      <c r="A219" s="28" t="s">
        <v>284</v>
      </c>
      <c r="B219" s="29" t="s">
        <v>111</v>
      </c>
      <c r="C219" s="30"/>
      <c r="D219" s="31">
        <f>SUM(D220:D221)</f>
        <v>244500</v>
      </c>
      <c r="F219" s="12"/>
    </row>
    <row r="220" spans="1:6" s="4" customFormat="1" ht="106.5" customHeight="1" x14ac:dyDescent="0.3">
      <c r="A220" s="32" t="s">
        <v>426</v>
      </c>
      <c r="B220" s="33" t="s">
        <v>424</v>
      </c>
      <c r="C220" s="34">
        <v>200</v>
      </c>
      <c r="D220" s="35">
        <f>300000-155500</f>
        <v>144500</v>
      </c>
      <c r="F220" s="12"/>
    </row>
    <row r="221" spans="1:6" ht="106.5" customHeight="1" x14ac:dyDescent="0.3">
      <c r="A221" s="32" t="s">
        <v>425</v>
      </c>
      <c r="B221" s="33" t="s">
        <v>453</v>
      </c>
      <c r="C221" s="34">
        <v>200</v>
      </c>
      <c r="D221" s="35">
        <v>100000</v>
      </c>
    </row>
    <row r="222" spans="1:6" ht="120.75" customHeight="1" x14ac:dyDescent="0.3">
      <c r="A222" s="42" t="s">
        <v>372</v>
      </c>
      <c r="B222" s="24" t="s">
        <v>373</v>
      </c>
      <c r="C222" s="34"/>
      <c r="D222" s="27">
        <f>D223</f>
        <v>510000</v>
      </c>
    </row>
    <row r="223" spans="1:6" ht="102.75" customHeight="1" x14ac:dyDescent="0.3">
      <c r="A223" s="40" t="s">
        <v>423</v>
      </c>
      <c r="B223" s="29" t="s">
        <v>374</v>
      </c>
      <c r="C223" s="34"/>
      <c r="D223" s="31">
        <f>SUM(D224:D225)</f>
        <v>510000</v>
      </c>
    </row>
    <row r="224" spans="1:6" ht="105.75" customHeight="1" x14ac:dyDescent="0.3">
      <c r="A224" s="37" t="s">
        <v>547</v>
      </c>
      <c r="B224" s="33" t="s">
        <v>545</v>
      </c>
      <c r="C224" s="34">
        <v>200</v>
      </c>
      <c r="D224" s="35">
        <v>504900</v>
      </c>
    </row>
    <row r="225" spans="1:6" ht="105.75" customHeight="1" x14ac:dyDescent="0.3">
      <c r="A225" s="37" t="s">
        <v>547</v>
      </c>
      <c r="B225" s="33" t="s">
        <v>546</v>
      </c>
      <c r="C225" s="34">
        <v>200</v>
      </c>
      <c r="D225" s="35">
        <v>5100</v>
      </c>
    </row>
    <row r="226" spans="1:6" ht="90" customHeight="1" x14ac:dyDescent="0.3">
      <c r="A226" s="25" t="s">
        <v>434</v>
      </c>
      <c r="B226" s="24" t="s">
        <v>112</v>
      </c>
      <c r="C226" s="26"/>
      <c r="D226" s="27">
        <f>D227</f>
        <v>176475.47</v>
      </c>
    </row>
    <row r="227" spans="1:6" s="5" customFormat="1" ht="68.25" customHeight="1" x14ac:dyDescent="0.3">
      <c r="A227" s="25" t="s">
        <v>285</v>
      </c>
      <c r="B227" s="24" t="s">
        <v>113</v>
      </c>
      <c r="C227" s="26"/>
      <c r="D227" s="27">
        <f>D228</f>
        <v>176475.47</v>
      </c>
      <c r="F227" s="11"/>
    </row>
    <row r="228" spans="1:6" s="5" customFormat="1" ht="70.5" customHeight="1" x14ac:dyDescent="0.3">
      <c r="A228" s="28" t="s">
        <v>286</v>
      </c>
      <c r="B228" s="29" t="s">
        <v>114</v>
      </c>
      <c r="C228" s="30"/>
      <c r="D228" s="31">
        <f>SUM(D229:D229)</f>
        <v>176475.47</v>
      </c>
      <c r="F228" s="11"/>
    </row>
    <row r="229" spans="1:6" s="4" customFormat="1" ht="114" customHeight="1" x14ac:dyDescent="0.3">
      <c r="A229" s="32" t="s">
        <v>287</v>
      </c>
      <c r="B229" s="33" t="s">
        <v>115</v>
      </c>
      <c r="C229" s="34">
        <v>200</v>
      </c>
      <c r="D229" s="35">
        <f>211619.12-26153.92-8989.73</f>
        <v>176475.47</v>
      </c>
      <c r="F229" s="12"/>
    </row>
    <row r="230" spans="1:6" ht="107.25" customHeight="1" x14ac:dyDescent="0.3">
      <c r="A230" s="25" t="s">
        <v>117</v>
      </c>
      <c r="B230" s="24" t="s">
        <v>116</v>
      </c>
      <c r="C230" s="26"/>
      <c r="D230" s="27">
        <f>D231+D241+D244</f>
        <v>414297.86</v>
      </c>
    </row>
    <row r="231" spans="1:6" ht="89.25" customHeight="1" x14ac:dyDescent="0.3">
      <c r="A231" s="25" t="s">
        <v>220</v>
      </c>
      <c r="B231" s="24" t="s">
        <v>118</v>
      </c>
      <c r="C231" s="26"/>
      <c r="D231" s="27">
        <f>D232+D235</f>
        <v>192543</v>
      </c>
    </row>
    <row r="232" spans="1:6" ht="66" customHeight="1" x14ac:dyDescent="0.3">
      <c r="A232" s="28" t="s">
        <v>120</v>
      </c>
      <c r="B232" s="29" t="s">
        <v>119</v>
      </c>
      <c r="C232" s="30"/>
      <c r="D232" s="31">
        <f>SUM(D233:D234)</f>
        <v>20000</v>
      </c>
    </row>
    <row r="233" spans="1:6" s="5" customFormat="1" ht="105" customHeight="1" x14ac:dyDescent="0.3">
      <c r="A233" s="32" t="s">
        <v>213</v>
      </c>
      <c r="B233" s="33" t="s">
        <v>121</v>
      </c>
      <c r="C233" s="34">
        <v>200</v>
      </c>
      <c r="D233" s="35">
        <v>10000</v>
      </c>
      <c r="F233" s="11"/>
    </row>
    <row r="234" spans="1:6" s="5" customFormat="1" ht="86.25" customHeight="1" x14ac:dyDescent="0.3">
      <c r="A234" s="32" t="s">
        <v>415</v>
      </c>
      <c r="B234" s="33" t="s">
        <v>122</v>
      </c>
      <c r="C234" s="34">
        <v>200</v>
      </c>
      <c r="D234" s="35">
        <v>10000</v>
      </c>
      <c r="F234" s="11"/>
    </row>
    <row r="235" spans="1:6" ht="69" customHeight="1" x14ac:dyDescent="0.3">
      <c r="A235" s="28" t="s">
        <v>124</v>
      </c>
      <c r="B235" s="29" t="s">
        <v>123</v>
      </c>
      <c r="C235" s="30"/>
      <c r="D235" s="31">
        <f>SUM(D236:D240)</f>
        <v>172543</v>
      </c>
    </row>
    <row r="236" spans="1:6" ht="87.75" customHeight="1" x14ac:dyDescent="0.3">
      <c r="A236" s="32" t="s">
        <v>214</v>
      </c>
      <c r="B236" s="33" t="s">
        <v>125</v>
      </c>
      <c r="C236" s="34">
        <v>200</v>
      </c>
      <c r="D236" s="35">
        <v>10000</v>
      </c>
    </row>
    <row r="237" spans="1:6" ht="85.5" customHeight="1" x14ac:dyDescent="0.3">
      <c r="A237" s="32" t="s">
        <v>219</v>
      </c>
      <c r="B237" s="33" t="s">
        <v>125</v>
      </c>
      <c r="C237" s="34">
        <v>600</v>
      </c>
      <c r="D237" s="35">
        <v>20000</v>
      </c>
    </row>
    <row r="238" spans="1:6" s="4" customFormat="1" ht="88.5" customHeight="1" x14ac:dyDescent="0.3">
      <c r="A238" s="32" t="s">
        <v>196</v>
      </c>
      <c r="B238" s="33" t="s">
        <v>126</v>
      </c>
      <c r="C238" s="34">
        <v>600</v>
      </c>
      <c r="D238" s="35">
        <v>10000</v>
      </c>
      <c r="F238" s="12"/>
    </row>
    <row r="239" spans="1:6" s="4" customFormat="1" ht="88.5" customHeight="1" x14ac:dyDescent="0.3">
      <c r="A239" s="32" t="s">
        <v>571</v>
      </c>
      <c r="B239" s="33" t="s">
        <v>566</v>
      </c>
      <c r="C239" s="34">
        <v>200</v>
      </c>
      <c r="D239" s="35">
        <v>90214</v>
      </c>
      <c r="F239" s="12"/>
    </row>
    <row r="240" spans="1:6" s="4" customFormat="1" ht="88.5" customHeight="1" x14ac:dyDescent="0.3">
      <c r="A240" s="32" t="s">
        <v>567</v>
      </c>
      <c r="B240" s="33" t="s">
        <v>566</v>
      </c>
      <c r="C240" s="34">
        <v>600</v>
      </c>
      <c r="D240" s="35">
        <v>42329</v>
      </c>
      <c r="F240" s="12"/>
    </row>
    <row r="241" spans="1:9" ht="144.75" customHeight="1" x14ac:dyDescent="0.3">
      <c r="A241" s="25" t="s">
        <v>456</v>
      </c>
      <c r="B241" s="24" t="s">
        <v>127</v>
      </c>
      <c r="C241" s="26"/>
      <c r="D241" s="27">
        <f>D242</f>
        <v>110000</v>
      </c>
    </row>
    <row r="242" spans="1:9" ht="63" customHeight="1" x14ac:dyDescent="0.3">
      <c r="A242" s="28" t="s">
        <v>457</v>
      </c>
      <c r="B242" s="29" t="s">
        <v>128</v>
      </c>
      <c r="C242" s="30"/>
      <c r="D242" s="31">
        <f>D243</f>
        <v>110000</v>
      </c>
    </row>
    <row r="243" spans="1:9" ht="145.5" customHeight="1" x14ac:dyDescent="0.3">
      <c r="A243" s="32" t="s">
        <v>458</v>
      </c>
      <c r="B243" s="33" t="s">
        <v>129</v>
      </c>
      <c r="C243" s="34">
        <v>600</v>
      </c>
      <c r="D243" s="35">
        <f>154800-44800</f>
        <v>110000</v>
      </c>
    </row>
    <row r="244" spans="1:9" ht="109.5" customHeight="1" x14ac:dyDescent="0.3">
      <c r="A244" s="25" t="s">
        <v>526</v>
      </c>
      <c r="B244" s="24" t="s">
        <v>527</v>
      </c>
      <c r="C244" s="26"/>
      <c r="D244" s="27">
        <f>D245</f>
        <v>111754.85999999999</v>
      </c>
    </row>
    <row r="245" spans="1:9" ht="156" customHeight="1" x14ac:dyDescent="0.3">
      <c r="A245" s="28" t="s">
        <v>568</v>
      </c>
      <c r="B245" s="29" t="s">
        <v>528</v>
      </c>
      <c r="C245" s="30"/>
      <c r="D245" s="31">
        <f>SUM(D246:D247)</f>
        <v>111754.85999999999</v>
      </c>
    </row>
    <row r="246" spans="1:9" ht="108" customHeight="1" x14ac:dyDescent="0.3">
      <c r="A246" s="32" t="s">
        <v>537</v>
      </c>
      <c r="B246" s="33" t="s">
        <v>529</v>
      </c>
      <c r="C246" s="34">
        <v>300</v>
      </c>
      <c r="D246" s="35">
        <f>114526-59992.48</f>
        <v>54533.52</v>
      </c>
    </row>
    <row r="247" spans="1:9" ht="119.25" customHeight="1" x14ac:dyDescent="0.3">
      <c r="A247" s="32" t="s">
        <v>538</v>
      </c>
      <c r="B247" s="33" t="s">
        <v>530</v>
      </c>
      <c r="C247" s="34">
        <v>300</v>
      </c>
      <c r="D247" s="35">
        <f>85474-28252.66</f>
        <v>57221.34</v>
      </c>
    </row>
    <row r="248" spans="1:9" s="5" customFormat="1" ht="87.75" customHeight="1" x14ac:dyDescent="0.3">
      <c r="A248" s="25" t="s">
        <v>288</v>
      </c>
      <c r="B248" s="24" t="s">
        <v>130</v>
      </c>
      <c r="C248" s="26"/>
      <c r="D248" s="27">
        <f>D249+D263+D267</f>
        <v>45273212.690000005</v>
      </c>
      <c r="F248" s="11"/>
    </row>
    <row r="249" spans="1:9" s="4" customFormat="1" ht="89.25" customHeight="1" x14ac:dyDescent="0.3">
      <c r="A249" s="25" t="s">
        <v>289</v>
      </c>
      <c r="B249" s="24" t="s">
        <v>131</v>
      </c>
      <c r="C249" s="26"/>
      <c r="D249" s="27">
        <f>D250+D252+D256+D259</f>
        <v>38941616.630000003</v>
      </c>
      <c r="F249" s="12"/>
    </row>
    <row r="250" spans="1:9" ht="56.25" x14ac:dyDescent="0.3">
      <c r="A250" s="28" t="s">
        <v>133</v>
      </c>
      <c r="B250" s="29" t="s">
        <v>132</v>
      </c>
      <c r="C250" s="30"/>
      <c r="D250" s="31">
        <f>D251</f>
        <v>1001804</v>
      </c>
    </row>
    <row r="251" spans="1:9" ht="126" customHeight="1" x14ac:dyDescent="0.3">
      <c r="A251" s="32" t="s">
        <v>182</v>
      </c>
      <c r="B251" s="33" t="s">
        <v>134</v>
      </c>
      <c r="C251" s="34">
        <v>100</v>
      </c>
      <c r="D251" s="35">
        <v>1001804</v>
      </c>
    </row>
    <row r="252" spans="1:9" s="5" customFormat="1" ht="89.25" customHeight="1" x14ac:dyDescent="0.3">
      <c r="A252" s="28" t="s">
        <v>290</v>
      </c>
      <c r="B252" s="29" t="s">
        <v>135</v>
      </c>
      <c r="C252" s="30"/>
      <c r="D252" s="31">
        <f>SUM(D253:D255)</f>
        <v>37398383.130000003</v>
      </c>
      <c r="F252" s="11"/>
    </row>
    <row r="253" spans="1:9" s="4" customFormat="1" ht="168.75" x14ac:dyDescent="0.3">
      <c r="A253" s="32" t="s">
        <v>291</v>
      </c>
      <c r="B253" s="33" t="s">
        <v>136</v>
      </c>
      <c r="C253" s="34">
        <v>100</v>
      </c>
      <c r="D253" s="35">
        <f>32173409.75+615660.28+9504.93-576966.46+164473.63+1501.67+2343.6+86521.16+700</f>
        <v>32477148.560000002</v>
      </c>
      <c r="F253" s="12"/>
      <c r="G253" s="17"/>
      <c r="H253" s="20"/>
      <c r="I253" s="17"/>
    </row>
    <row r="254" spans="1:9" ht="110.25" customHeight="1" x14ac:dyDescent="0.3">
      <c r="A254" s="32" t="s">
        <v>435</v>
      </c>
      <c r="B254" s="33" t="s">
        <v>136</v>
      </c>
      <c r="C254" s="34">
        <v>200</v>
      </c>
      <c r="D254" s="35">
        <f>-50000+3968961.52+70000+124150+99844.72-850+198000+2300+196050.54-2343.6+45597.92-700+3729+50000-54056+1000+6033.47+5925+50000+34600</f>
        <v>4748242.57</v>
      </c>
      <c r="F254" s="18"/>
    </row>
    <row r="255" spans="1:9" s="5" customFormat="1" ht="93" customHeight="1" x14ac:dyDescent="0.3">
      <c r="A255" s="32" t="s">
        <v>292</v>
      </c>
      <c r="B255" s="33" t="s">
        <v>136</v>
      </c>
      <c r="C255" s="34">
        <v>800</v>
      </c>
      <c r="D255" s="35">
        <f>50000+129492+850+3050-10400</f>
        <v>172992</v>
      </c>
      <c r="F255" s="19"/>
    </row>
    <row r="256" spans="1:9" s="4" customFormat="1" ht="75" customHeight="1" x14ac:dyDescent="0.3">
      <c r="A256" s="28" t="s">
        <v>293</v>
      </c>
      <c r="B256" s="29" t="s">
        <v>137</v>
      </c>
      <c r="C256" s="30"/>
      <c r="D256" s="31">
        <f>SUM(D257:D258)</f>
        <v>119881</v>
      </c>
      <c r="F256" s="12"/>
    </row>
    <row r="257" spans="1:6" s="4" customFormat="1" ht="128.25" customHeight="1" x14ac:dyDescent="0.3">
      <c r="A257" s="49" t="s">
        <v>294</v>
      </c>
      <c r="B257" s="33" t="s">
        <v>177</v>
      </c>
      <c r="C257" s="34">
        <v>200</v>
      </c>
      <c r="D257" s="35">
        <f>63000+28000+13000-1375-1000</f>
        <v>101625</v>
      </c>
      <c r="F257" s="12"/>
    </row>
    <row r="258" spans="1:6" ht="86.25" customHeight="1" x14ac:dyDescent="0.3">
      <c r="A258" s="36" t="s">
        <v>416</v>
      </c>
      <c r="B258" s="33" t="s">
        <v>375</v>
      </c>
      <c r="C258" s="34">
        <v>200</v>
      </c>
      <c r="D258" s="35">
        <f>9200+5500+6500-2944</f>
        <v>18256</v>
      </c>
    </row>
    <row r="259" spans="1:6" ht="71.25" customHeight="1" x14ac:dyDescent="0.3">
      <c r="A259" s="28" t="s">
        <v>139</v>
      </c>
      <c r="B259" s="29" t="s">
        <v>138</v>
      </c>
      <c r="C259" s="30"/>
      <c r="D259" s="31">
        <f>SUM(D260:D262)</f>
        <v>421548.5</v>
      </c>
    </row>
    <row r="260" spans="1:6" ht="105" customHeight="1" x14ac:dyDescent="0.3">
      <c r="A260" s="32" t="s">
        <v>229</v>
      </c>
      <c r="B260" s="33" t="s">
        <v>140</v>
      </c>
      <c r="C260" s="34">
        <v>200</v>
      </c>
      <c r="D260" s="35">
        <v>11856.5</v>
      </c>
    </row>
    <row r="261" spans="1:6" ht="159.75" customHeight="1" x14ac:dyDescent="0.3">
      <c r="A261" s="47" t="s">
        <v>230</v>
      </c>
      <c r="B261" s="33" t="s">
        <v>141</v>
      </c>
      <c r="C261" s="34">
        <v>100</v>
      </c>
      <c r="D261" s="35">
        <v>346085</v>
      </c>
    </row>
    <row r="262" spans="1:6" ht="106.5" customHeight="1" x14ac:dyDescent="0.3">
      <c r="A262" s="32" t="s">
        <v>231</v>
      </c>
      <c r="B262" s="33" t="s">
        <v>141</v>
      </c>
      <c r="C262" s="34">
        <v>200</v>
      </c>
      <c r="D262" s="35">
        <v>63607</v>
      </c>
    </row>
    <row r="263" spans="1:6" ht="150.75" customHeight="1" x14ac:dyDescent="0.3">
      <c r="A263" s="42" t="s">
        <v>376</v>
      </c>
      <c r="B263" s="24" t="s">
        <v>142</v>
      </c>
      <c r="C263" s="26"/>
      <c r="D263" s="27">
        <f>D264</f>
        <v>4527093.5299999993</v>
      </c>
    </row>
    <row r="264" spans="1:6" ht="109.5" customHeight="1" x14ac:dyDescent="0.3">
      <c r="A264" s="28" t="s">
        <v>295</v>
      </c>
      <c r="B264" s="29" t="s">
        <v>143</v>
      </c>
      <c r="C264" s="30"/>
      <c r="D264" s="31">
        <f>D265+D266</f>
        <v>4527093.5299999993</v>
      </c>
    </row>
    <row r="265" spans="1:6" s="4" customFormat="1" ht="122.25" customHeight="1" x14ac:dyDescent="0.3">
      <c r="A265" s="32" t="s">
        <v>533</v>
      </c>
      <c r="B265" s="33" t="s">
        <v>531</v>
      </c>
      <c r="C265" s="34">
        <v>600</v>
      </c>
      <c r="D265" s="35">
        <v>953581</v>
      </c>
      <c r="F265" s="12"/>
    </row>
    <row r="266" spans="1:6" s="4" customFormat="1" ht="111.75" customHeight="1" x14ac:dyDescent="0.3">
      <c r="A266" s="32" t="s">
        <v>534</v>
      </c>
      <c r="B266" s="33" t="s">
        <v>532</v>
      </c>
      <c r="C266" s="34">
        <v>600</v>
      </c>
      <c r="D266" s="35">
        <f>2310134.53+1063378+200000</f>
        <v>3573512.53</v>
      </c>
      <c r="F266" s="12"/>
    </row>
    <row r="267" spans="1:6" ht="66" customHeight="1" x14ac:dyDescent="0.3">
      <c r="A267" s="42" t="s">
        <v>377</v>
      </c>
      <c r="B267" s="24" t="s">
        <v>378</v>
      </c>
      <c r="C267" s="26"/>
      <c r="D267" s="27">
        <f>D268+D272</f>
        <v>1804502.53</v>
      </c>
    </row>
    <row r="268" spans="1:6" s="4" customFormat="1" ht="67.5" customHeight="1" x14ac:dyDescent="0.3">
      <c r="A268" s="40" t="s">
        <v>379</v>
      </c>
      <c r="B268" s="29" t="s">
        <v>380</v>
      </c>
      <c r="C268" s="30"/>
      <c r="D268" s="31">
        <f>SUM(D269:D271)</f>
        <v>83692.320000000007</v>
      </c>
      <c r="F268" s="12"/>
    </row>
    <row r="269" spans="1:6" ht="105" customHeight="1" x14ac:dyDescent="0.3">
      <c r="A269" s="36" t="s">
        <v>417</v>
      </c>
      <c r="B269" s="33" t="s">
        <v>381</v>
      </c>
      <c r="C269" s="34">
        <v>200</v>
      </c>
      <c r="D269" s="35">
        <f>40450-11711.68</f>
        <v>28738.32</v>
      </c>
    </row>
    <row r="270" spans="1:6" ht="122.25" customHeight="1" x14ac:dyDescent="0.3">
      <c r="A270" s="36" t="s">
        <v>419</v>
      </c>
      <c r="B270" s="33" t="s">
        <v>382</v>
      </c>
      <c r="C270" s="34">
        <v>200</v>
      </c>
      <c r="D270" s="35">
        <f>100000-60000</f>
        <v>40000</v>
      </c>
    </row>
    <row r="271" spans="1:6" ht="105" customHeight="1" x14ac:dyDescent="0.3">
      <c r="A271" s="36" t="s">
        <v>418</v>
      </c>
      <c r="B271" s="33" t="s">
        <v>383</v>
      </c>
      <c r="C271" s="34">
        <v>200</v>
      </c>
      <c r="D271" s="35">
        <v>14954</v>
      </c>
    </row>
    <row r="272" spans="1:6" ht="52.5" customHeight="1" x14ac:dyDescent="0.3">
      <c r="A272" s="40" t="s">
        <v>384</v>
      </c>
      <c r="B272" s="29" t="s">
        <v>385</v>
      </c>
      <c r="C272" s="34"/>
      <c r="D272" s="31">
        <f>SUM(D273:D274)</f>
        <v>1720810.21</v>
      </c>
    </row>
    <row r="273" spans="1:6" ht="84.75" customHeight="1" x14ac:dyDescent="0.3">
      <c r="A273" s="36" t="s">
        <v>420</v>
      </c>
      <c r="B273" s="33" t="s">
        <v>386</v>
      </c>
      <c r="C273" s="34">
        <v>200</v>
      </c>
      <c r="D273" s="35">
        <f>242732+20000+172500+11711.68+69000-6033.47</f>
        <v>509910.21</v>
      </c>
    </row>
    <row r="274" spans="1:6" ht="72" customHeight="1" x14ac:dyDescent="0.3">
      <c r="A274" s="36" t="s">
        <v>421</v>
      </c>
      <c r="B274" s="33" t="s">
        <v>387</v>
      </c>
      <c r="C274" s="34">
        <v>200</v>
      </c>
      <c r="D274" s="35">
        <f>100000+427500+139500+543900</f>
        <v>1210900</v>
      </c>
    </row>
    <row r="275" spans="1:6" ht="84.75" customHeight="1" x14ac:dyDescent="0.3">
      <c r="A275" s="25" t="s">
        <v>145</v>
      </c>
      <c r="B275" s="24" t="s">
        <v>144</v>
      </c>
      <c r="C275" s="26"/>
      <c r="D275" s="27">
        <f>D276+D280</f>
        <v>171400</v>
      </c>
    </row>
    <row r="276" spans="1:6" ht="68.25" customHeight="1" x14ac:dyDescent="0.3">
      <c r="A276" s="25" t="s">
        <v>147</v>
      </c>
      <c r="B276" s="24" t="s">
        <v>146</v>
      </c>
      <c r="C276" s="26"/>
      <c r="D276" s="27">
        <f>D277</f>
        <v>146400</v>
      </c>
    </row>
    <row r="277" spans="1:6" ht="46.5" customHeight="1" x14ac:dyDescent="0.3">
      <c r="A277" s="28" t="s">
        <v>149</v>
      </c>
      <c r="B277" s="29" t="s">
        <v>148</v>
      </c>
      <c r="C277" s="30"/>
      <c r="D277" s="31">
        <f>SUM(D278:D279)</f>
        <v>146400</v>
      </c>
    </row>
    <row r="278" spans="1:6" ht="127.5" customHeight="1" x14ac:dyDescent="0.3">
      <c r="A278" s="32" t="s">
        <v>296</v>
      </c>
      <c r="B278" s="33" t="s">
        <v>150</v>
      </c>
      <c r="C278" s="34">
        <v>200</v>
      </c>
      <c r="D278" s="35">
        <f>54400+57000</f>
        <v>111400</v>
      </c>
    </row>
    <row r="279" spans="1:6" ht="131.25" x14ac:dyDescent="0.3">
      <c r="A279" s="32" t="s">
        <v>297</v>
      </c>
      <c r="B279" s="33" t="s">
        <v>150</v>
      </c>
      <c r="C279" s="34">
        <v>600</v>
      </c>
      <c r="D279" s="35">
        <v>35000</v>
      </c>
    </row>
    <row r="280" spans="1:6" s="4" customFormat="1" ht="45.75" customHeight="1" x14ac:dyDescent="0.3">
      <c r="A280" s="25" t="s">
        <v>152</v>
      </c>
      <c r="B280" s="24" t="s">
        <v>151</v>
      </c>
      <c r="C280" s="26"/>
      <c r="D280" s="27">
        <f>D281</f>
        <v>25000</v>
      </c>
      <c r="F280" s="12"/>
    </row>
    <row r="281" spans="1:6" ht="50.25" customHeight="1" x14ac:dyDescent="0.3">
      <c r="A281" s="28" t="s">
        <v>154</v>
      </c>
      <c r="B281" s="29" t="s">
        <v>153</v>
      </c>
      <c r="C281" s="30"/>
      <c r="D281" s="31">
        <f>SUM(D282:D285)</f>
        <v>25000</v>
      </c>
    </row>
    <row r="282" spans="1:6" s="5" customFormat="1" ht="144.75" customHeight="1" x14ac:dyDescent="0.3">
      <c r="A282" s="32" t="s">
        <v>215</v>
      </c>
      <c r="B282" s="33" t="s">
        <v>155</v>
      </c>
      <c r="C282" s="34">
        <v>200</v>
      </c>
      <c r="D282" s="35">
        <v>10000</v>
      </c>
      <c r="F282" s="11"/>
    </row>
    <row r="283" spans="1:6" s="5" customFormat="1" ht="102.75" customHeight="1" x14ac:dyDescent="0.3">
      <c r="A283" s="32" t="s">
        <v>216</v>
      </c>
      <c r="B283" s="33" t="s">
        <v>156</v>
      </c>
      <c r="C283" s="34">
        <v>200</v>
      </c>
      <c r="D283" s="35">
        <v>4000</v>
      </c>
      <c r="F283" s="11"/>
    </row>
    <row r="284" spans="1:6" s="4" customFormat="1" ht="103.5" customHeight="1" x14ac:dyDescent="0.3">
      <c r="A284" s="32" t="s">
        <v>217</v>
      </c>
      <c r="B284" s="33" t="s">
        <v>157</v>
      </c>
      <c r="C284" s="34">
        <v>200</v>
      </c>
      <c r="D284" s="35">
        <v>5000</v>
      </c>
      <c r="F284" s="12"/>
    </row>
    <row r="285" spans="1:6" ht="122.25" customHeight="1" x14ac:dyDescent="0.3">
      <c r="A285" s="32" t="s">
        <v>218</v>
      </c>
      <c r="B285" s="33" t="s">
        <v>158</v>
      </c>
      <c r="C285" s="34">
        <v>200</v>
      </c>
      <c r="D285" s="35">
        <v>6000</v>
      </c>
    </row>
    <row r="286" spans="1:6" ht="123" customHeight="1" x14ac:dyDescent="0.3">
      <c r="A286" s="42" t="s">
        <v>450</v>
      </c>
      <c r="B286" s="24" t="s">
        <v>388</v>
      </c>
      <c r="C286" s="34"/>
      <c r="D286" s="27">
        <f>D287</f>
        <v>1500</v>
      </c>
    </row>
    <row r="287" spans="1:6" ht="50.25" customHeight="1" x14ac:dyDescent="0.3">
      <c r="A287" s="25" t="s">
        <v>444</v>
      </c>
      <c r="B287" s="24" t="s">
        <v>389</v>
      </c>
      <c r="C287" s="26"/>
      <c r="D287" s="27">
        <f>D288</f>
        <v>1500</v>
      </c>
    </row>
    <row r="288" spans="1:6" ht="183.75" customHeight="1" x14ac:dyDescent="0.3">
      <c r="A288" s="40" t="s">
        <v>390</v>
      </c>
      <c r="B288" s="29" t="s">
        <v>391</v>
      </c>
      <c r="C288" s="34"/>
      <c r="D288" s="31">
        <f>D289</f>
        <v>1500</v>
      </c>
    </row>
    <row r="289" spans="1:4" ht="126.75" customHeight="1" x14ac:dyDescent="0.3">
      <c r="A289" s="36" t="s">
        <v>445</v>
      </c>
      <c r="B289" s="33" t="s">
        <v>431</v>
      </c>
      <c r="C289" s="34">
        <v>200</v>
      </c>
      <c r="D289" s="35">
        <v>1500</v>
      </c>
    </row>
    <row r="290" spans="1:4" ht="84" customHeight="1" x14ac:dyDescent="0.3">
      <c r="A290" s="42" t="s">
        <v>459</v>
      </c>
      <c r="B290" s="24" t="s">
        <v>336</v>
      </c>
      <c r="C290" s="34"/>
      <c r="D290" s="27">
        <f>D291+D295</f>
        <v>3029441.58</v>
      </c>
    </row>
    <row r="291" spans="1:4" ht="52.5" customHeight="1" x14ac:dyDescent="0.3">
      <c r="A291" s="25" t="s">
        <v>263</v>
      </c>
      <c r="B291" s="24" t="s">
        <v>337</v>
      </c>
      <c r="C291" s="34"/>
      <c r="D291" s="27">
        <f>D292</f>
        <v>1787381.58</v>
      </c>
    </row>
    <row r="292" spans="1:4" ht="48" customHeight="1" x14ac:dyDescent="0.3">
      <c r="A292" s="28" t="s">
        <v>264</v>
      </c>
      <c r="B292" s="29" t="s">
        <v>338</v>
      </c>
      <c r="C292" s="34"/>
      <c r="D292" s="31">
        <f>SUM(D293:D294)</f>
        <v>1787381.58</v>
      </c>
    </row>
    <row r="293" spans="1:4" ht="64.5" customHeight="1" x14ac:dyDescent="0.3">
      <c r="A293" s="36" t="s">
        <v>265</v>
      </c>
      <c r="B293" s="33" t="s">
        <v>522</v>
      </c>
      <c r="C293" s="34">
        <v>300</v>
      </c>
      <c r="D293" s="35">
        <f>1060391.24-54379.05</f>
        <v>1006012.19</v>
      </c>
    </row>
    <row r="294" spans="1:4" ht="72" customHeight="1" x14ac:dyDescent="0.3">
      <c r="A294" s="32" t="s">
        <v>265</v>
      </c>
      <c r="B294" s="33" t="s">
        <v>339</v>
      </c>
      <c r="C294" s="34">
        <v>300</v>
      </c>
      <c r="D294" s="35">
        <f>254661.75+419707.64+107000</f>
        <v>781369.39</v>
      </c>
    </row>
    <row r="295" spans="1:4" ht="67.5" customHeight="1" x14ac:dyDescent="0.3">
      <c r="A295" s="25" t="s">
        <v>266</v>
      </c>
      <c r="B295" s="24" t="s">
        <v>340</v>
      </c>
      <c r="C295" s="34"/>
      <c r="D295" s="27">
        <f>D296</f>
        <v>1242060</v>
      </c>
    </row>
    <row r="296" spans="1:4" ht="66.75" customHeight="1" x14ac:dyDescent="0.3">
      <c r="A296" s="28" t="s">
        <v>267</v>
      </c>
      <c r="B296" s="29" t="s">
        <v>341</v>
      </c>
      <c r="C296" s="34"/>
      <c r="D296" s="31">
        <f>SUM(D297:D298)</f>
        <v>1242060</v>
      </c>
    </row>
    <row r="297" spans="1:4" ht="133.5" customHeight="1" x14ac:dyDescent="0.3">
      <c r="A297" s="36" t="s">
        <v>536</v>
      </c>
      <c r="B297" s="33" t="s">
        <v>535</v>
      </c>
      <c r="C297" s="34">
        <v>300</v>
      </c>
      <c r="D297" s="35">
        <f>1192320-74520</f>
        <v>1117800</v>
      </c>
    </row>
    <row r="298" spans="1:4" ht="145.5" customHeight="1" x14ac:dyDescent="0.3">
      <c r="A298" s="36" t="s">
        <v>422</v>
      </c>
      <c r="B298" s="33" t="s">
        <v>342</v>
      </c>
      <c r="C298" s="34">
        <v>300</v>
      </c>
      <c r="D298" s="35">
        <f>37260+87000</f>
        <v>124260</v>
      </c>
    </row>
    <row r="299" spans="1:4" ht="75.75" customHeight="1" x14ac:dyDescent="0.3">
      <c r="A299" s="42" t="s">
        <v>579</v>
      </c>
      <c r="B299" s="24" t="s">
        <v>580</v>
      </c>
      <c r="C299" s="26"/>
      <c r="D299" s="27">
        <f>D300</f>
        <v>71906</v>
      </c>
    </row>
    <row r="300" spans="1:4" ht="68.25" customHeight="1" x14ac:dyDescent="0.3">
      <c r="A300" s="55" t="s">
        <v>581</v>
      </c>
      <c r="B300" s="24" t="s">
        <v>582</v>
      </c>
      <c r="C300" s="26"/>
      <c r="D300" s="27">
        <f>D301</f>
        <v>71906</v>
      </c>
    </row>
    <row r="301" spans="1:4" ht="50.25" customHeight="1" x14ac:dyDescent="0.3">
      <c r="A301" s="40" t="s">
        <v>584</v>
      </c>
      <c r="B301" s="29" t="s">
        <v>583</v>
      </c>
      <c r="C301" s="30"/>
      <c r="D301" s="31">
        <f>SUM(D302:D304)</f>
        <v>71906</v>
      </c>
    </row>
    <row r="302" spans="1:4" ht="63.75" customHeight="1" x14ac:dyDescent="0.3">
      <c r="A302" s="36" t="s">
        <v>586</v>
      </c>
      <c r="B302" s="33" t="s">
        <v>585</v>
      </c>
      <c r="C302" s="34">
        <v>200</v>
      </c>
      <c r="D302" s="35">
        <v>10000</v>
      </c>
    </row>
    <row r="303" spans="1:4" ht="82.5" customHeight="1" x14ac:dyDescent="0.3">
      <c r="A303" s="36" t="s">
        <v>588</v>
      </c>
      <c r="B303" s="33" t="s">
        <v>589</v>
      </c>
      <c r="C303" s="34">
        <v>200</v>
      </c>
      <c r="D303" s="35">
        <v>3000</v>
      </c>
    </row>
    <row r="304" spans="1:4" ht="81.75" customHeight="1" x14ac:dyDescent="0.3">
      <c r="A304" s="36" t="s">
        <v>587</v>
      </c>
      <c r="B304" s="33" t="s">
        <v>590</v>
      </c>
      <c r="C304" s="34">
        <v>200</v>
      </c>
      <c r="D304" s="35">
        <f>53056+5850</f>
        <v>58906</v>
      </c>
    </row>
    <row r="305" spans="1:6" ht="90.75" customHeight="1" x14ac:dyDescent="0.3">
      <c r="A305" s="25" t="s">
        <v>298</v>
      </c>
      <c r="B305" s="24" t="s">
        <v>159</v>
      </c>
      <c r="C305" s="26"/>
      <c r="D305" s="27">
        <f>SUM(D306:D315)</f>
        <v>5420479.29</v>
      </c>
    </row>
    <row r="306" spans="1:6" s="5" customFormat="1" ht="130.5" customHeight="1" x14ac:dyDescent="0.3">
      <c r="A306" s="32" t="s">
        <v>299</v>
      </c>
      <c r="B306" s="33" t="s">
        <v>160</v>
      </c>
      <c r="C306" s="34">
        <v>100</v>
      </c>
      <c r="D306" s="35">
        <v>1415873</v>
      </c>
      <c r="E306" s="15"/>
      <c r="F306" s="11"/>
    </row>
    <row r="307" spans="1:6" s="4" customFormat="1" ht="90" customHeight="1" x14ac:dyDescent="0.3">
      <c r="A307" s="32" t="s">
        <v>300</v>
      </c>
      <c r="B307" s="33" t="s">
        <v>160</v>
      </c>
      <c r="C307" s="34">
        <v>200</v>
      </c>
      <c r="D307" s="35">
        <f>594800+8899+96600</f>
        <v>700299</v>
      </c>
      <c r="F307" s="12"/>
    </row>
    <row r="308" spans="1:6" ht="69.75" customHeight="1" x14ac:dyDescent="0.3">
      <c r="A308" s="32" t="s">
        <v>301</v>
      </c>
      <c r="B308" s="33" t="s">
        <v>160</v>
      </c>
      <c r="C308" s="34">
        <v>800</v>
      </c>
      <c r="D308" s="35">
        <f>17500+2000</f>
        <v>19500</v>
      </c>
    </row>
    <row r="309" spans="1:6" ht="144.75" customHeight="1" x14ac:dyDescent="0.3">
      <c r="A309" s="32" t="s">
        <v>302</v>
      </c>
      <c r="B309" s="33" t="s">
        <v>161</v>
      </c>
      <c r="C309" s="34">
        <v>100</v>
      </c>
      <c r="D309" s="35">
        <f>80899-8899</f>
        <v>72000</v>
      </c>
    </row>
    <row r="310" spans="1:6" ht="143.25" customHeight="1" x14ac:dyDescent="0.3">
      <c r="A310" s="32" t="s">
        <v>183</v>
      </c>
      <c r="B310" s="33" t="s">
        <v>162</v>
      </c>
      <c r="C310" s="34">
        <v>100</v>
      </c>
      <c r="D310" s="35">
        <v>1139457.74</v>
      </c>
      <c r="E310" s="16"/>
    </row>
    <row r="311" spans="1:6" ht="89.25" customHeight="1" x14ac:dyDescent="0.3">
      <c r="A311" s="32" t="s">
        <v>303</v>
      </c>
      <c r="B311" s="33" t="s">
        <v>162</v>
      </c>
      <c r="C311" s="34">
        <v>200</v>
      </c>
      <c r="D311" s="35">
        <f>222035+11000-2641+20435</f>
        <v>250829</v>
      </c>
    </row>
    <row r="312" spans="1:6" s="5" customFormat="1" ht="69.75" customHeight="1" x14ac:dyDescent="0.3">
      <c r="A312" s="32" t="s">
        <v>199</v>
      </c>
      <c r="B312" s="33" t="s">
        <v>162</v>
      </c>
      <c r="C312" s="34">
        <v>800</v>
      </c>
      <c r="D312" s="35">
        <v>500</v>
      </c>
      <c r="F312" s="11"/>
    </row>
    <row r="313" spans="1:6" ht="148.5" customHeight="1" x14ac:dyDescent="0.3">
      <c r="A313" s="32" t="s">
        <v>184</v>
      </c>
      <c r="B313" s="33" t="s">
        <v>163</v>
      </c>
      <c r="C313" s="34">
        <v>100</v>
      </c>
      <c r="D313" s="35">
        <f>682785+2641</f>
        <v>685426</v>
      </c>
    </row>
    <row r="314" spans="1:6" ht="127.5" customHeight="1" x14ac:dyDescent="0.3">
      <c r="A314" s="36" t="s">
        <v>185</v>
      </c>
      <c r="B314" s="33" t="s">
        <v>176</v>
      </c>
      <c r="C314" s="34">
        <v>100</v>
      </c>
      <c r="D314" s="35">
        <v>1001805</v>
      </c>
    </row>
    <row r="315" spans="1:6" ht="207" customHeight="1" x14ac:dyDescent="0.3">
      <c r="A315" s="47" t="s">
        <v>497</v>
      </c>
      <c r="B315" s="33" t="s">
        <v>496</v>
      </c>
      <c r="C315" s="34">
        <v>100</v>
      </c>
      <c r="D315" s="35">
        <f>134789+0.55</f>
        <v>134789.54999999999</v>
      </c>
    </row>
    <row r="316" spans="1:6" ht="93" customHeight="1" x14ac:dyDescent="0.3">
      <c r="A316" s="25" t="s">
        <v>304</v>
      </c>
      <c r="B316" s="24" t="s">
        <v>164</v>
      </c>
      <c r="C316" s="26"/>
      <c r="D316" s="27">
        <f>SUM(D317:D334)</f>
        <v>6874394.3500000006</v>
      </c>
    </row>
    <row r="317" spans="1:6" ht="68.25" customHeight="1" x14ac:dyDescent="0.3">
      <c r="A317" s="32" t="s">
        <v>305</v>
      </c>
      <c r="B317" s="33" t="s">
        <v>165</v>
      </c>
      <c r="C317" s="34">
        <v>200</v>
      </c>
      <c r="D317" s="35">
        <f>1823022.75-122521.39-34000-34698.75+170059.13-53729-10010.27-4800-110766.67+50000</f>
        <v>1672555.8000000003</v>
      </c>
    </row>
    <row r="318" spans="1:6" ht="51.75" customHeight="1" x14ac:dyDescent="0.3">
      <c r="A318" s="32" t="s">
        <v>306</v>
      </c>
      <c r="B318" s="33" t="s">
        <v>165</v>
      </c>
      <c r="C318" s="34">
        <v>800</v>
      </c>
      <c r="D318" s="35">
        <f>20000+34000+196491+10613+63702+4800+19623.05</f>
        <v>349229.05</v>
      </c>
    </row>
    <row r="319" spans="1:6" ht="183.75" customHeight="1" x14ac:dyDescent="0.3">
      <c r="A319" s="36" t="s">
        <v>500</v>
      </c>
      <c r="B319" s="41" t="s">
        <v>501</v>
      </c>
      <c r="C319" s="34">
        <v>500</v>
      </c>
      <c r="D319" s="35">
        <v>20000</v>
      </c>
    </row>
    <row r="320" spans="1:6" ht="72" customHeight="1" x14ac:dyDescent="0.3">
      <c r="A320" s="36" t="s">
        <v>544</v>
      </c>
      <c r="B320" s="41" t="s">
        <v>543</v>
      </c>
      <c r="C320" s="34">
        <v>500</v>
      </c>
      <c r="D320" s="35">
        <v>92921.17</v>
      </c>
    </row>
    <row r="321" spans="1:4" ht="102.75" customHeight="1" x14ac:dyDescent="0.3">
      <c r="A321" s="36" t="s">
        <v>595</v>
      </c>
      <c r="B321" s="41" t="s">
        <v>593</v>
      </c>
      <c r="C321" s="34">
        <v>200</v>
      </c>
      <c r="D321" s="35">
        <v>147000</v>
      </c>
    </row>
    <row r="322" spans="1:4" ht="96.75" customHeight="1" x14ac:dyDescent="0.3">
      <c r="A322" s="36" t="s">
        <v>596</v>
      </c>
      <c r="B322" s="41" t="s">
        <v>594</v>
      </c>
      <c r="C322" s="34">
        <v>200</v>
      </c>
      <c r="D322" s="35">
        <v>168000</v>
      </c>
    </row>
    <row r="323" spans="1:4" ht="139.5" customHeight="1" x14ac:dyDescent="0.3">
      <c r="A323" s="47" t="s">
        <v>556</v>
      </c>
      <c r="B323" s="41" t="s">
        <v>558</v>
      </c>
      <c r="C323" s="34">
        <v>200</v>
      </c>
      <c r="D323" s="35">
        <v>343000</v>
      </c>
    </row>
    <row r="324" spans="1:4" ht="148.5" customHeight="1" x14ac:dyDescent="0.3">
      <c r="A324" s="47" t="s">
        <v>557</v>
      </c>
      <c r="B324" s="41" t="s">
        <v>558</v>
      </c>
      <c r="C324" s="34">
        <v>600</v>
      </c>
      <c r="D324" s="35">
        <v>857000</v>
      </c>
    </row>
    <row r="325" spans="1:4" ht="135" customHeight="1" x14ac:dyDescent="0.3">
      <c r="A325" s="47" t="s">
        <v>499</v>
      </c>
      <c r="B325" s="33" t="s">
        <v>498</v>
      </c>
      <c r="C325" s="34">
        <v>800</v>
      </c>
      <c r="D325" s="35">
        <f>42365.49-21182.73</f>
        <v>21182.76</v>
      </c>
    </row>
    <row r="326" spans="1:4" ht="97.5" customHeight="1" x14ac:dyDescent="0.3">
      <c r="A326" s="36" t="s">
        <v>597</v>
      </c>
      <c r="B326" s="41" t="s">
        <v>600</v>
      </c>
      <c r="C326" s="34">
        <v>600</v>
      </c>
      <c r="D326" s="35">
        <v>99000</v>
      </c>
    </row>
    <row r="327" spans="1:4" ht="69" customHeight="1" x14ac:dyDescent="0.3">
      <c r="A327" s="32" t="s">
        <v>307</v>
      </c>
      <c r="B327" s="33" t="s">
        <v>392</v>
      </c>
      <c r="C327" s="34">
        <v>300</v>
      </c>
      <c r="D327" s="35">
        <f>1483498.25+28695</f>
        <v>1512193.25</v>
      </c>
    </row>
    <row r="328" spans="1:4" ht="201.75" customHeight="1" x14ac:dyDescent="0.3">
      <c r="A328" s="32" t="s">
        <v>448</v>
      </c>
      <c r="B328" s="33" t="s">
        <v>449</v>
      </c>
      <c r="C328" s="34">
        <v>200</v>
      </c>
      <c r="D328" s="35">
        <f>7500+7500</f>
        <v>15000</v>
      </c>
    </row>
    <row r="329" spans="1:4" ht="107.25" customHeight="1" x14ac:dyDescent="0.3">
      <c r="A329" s="32" t="s">
        <v>516</v>
      </c>
      <c r="B329" s="33" t="s">
        <v>514</v>
      </c>
      <c r="C329" s="34">
        <v>600</v>
      </c>
      <c r="D329" s="35">
        <v>150000</v>
      </c>
    </row>
    <row r="330" spans="1:4" ht="114" customHeight="1" x14ac:dyDescent="0.3">
      <c r="A330" s="32" t="s">
        <v>517</v>
      </c>
      <c r="B330" s="33" t="s">
        <v>515</v>
      </c>
      <c r="C330" s="34">
        <v>600</v>
      </c>
      <c r="D330" s="35">
        <v>1520</v>
      </c>
    </row>
    <row r="331" spans="1:4" ht="114" customHeight="1" x14ac:dyDescent="0.3">
      <c r="A331" s="32" t="s">
        <v>520</v>
      </c>
      <c r="B331" s="33" t="s">
        <v>518</v>
      </c>
      <c r="C331" s="34">
        <v>200</v>
      </c>
      <c r="D331" s="35">
        <v>150000</v>
      </c>
    </row>
    <row r="332" spans="1:4" ht="114" customHeight="1" x14ac:dyDescent="0.3">
      <c r="A332" s="32" t="s">
        <v>521</v>
      </c>
      <c r="B332" s="33" t="s">
        <v>519</v>
      </c>
      <c r="C332" s="34">
        <v>200</v>
      </c>
      <c r="D332" s="35">
        <v>1520</v>
      </c>
    </row>
    <row r="333" spans="1:4" ht="201.75" customHeight="1" x14ac:dyDescent="0.3">
      <c r="A333" s="32" t="s">
        <v>513</v>
      </c>
      <c r="B333" s="33" t="s">
        <v>512</v>
      </c>
      <c r="C333" s="34">
        <v>200</v>
      </c>
      <c r="D333" s="35">
        <v>169874.32</v>
      </c>
    </row>
    <row r="334" spans="1:4" ht="47.25" customHeight="1" x14ac:dyDescent="0.3">
      <c r="A334" s="36" t="s">
        <v>427</v>
      </c>
      <c r="B334" s="33" t="s">
        <v>428</v>
      </c>
      <c r="C334" s="34">
        <v>800</v>
      </c>
      <c r="D334" s="35">
        <f>624984.86+1104398-624984.86</f>
        <v>1104398</v>
      </c>
    </row>
    <row r="335" spans="1:4" ht="32.25" customHeight="1" x14ac:dyDescent="0.3">
      <c r="A335" s="57" t="s">
        <v>308</v>
      </c>
      <c r="B335" s="57"/>
      <c r="C335" s="57"/>
      <c r="D335" s="27">
        <f>D14+D86+D140+D182+D206+D226+D230+D248+D275+D286+D290+D305+D316+D299</f>
        <v>289820750.71000004</v>
      </c>
    </row>
    <row r="336" spans="1:4" ht="27.75" customHeight="1" x14ac:dyDescent="0.3">
      <c r="D336" s="23"/>
    </row>
    <row r="337" spans="1:6" ht="28.5" customHeight="1" x14ac:dyDescent="0.3">
      <c r="B337" s="6"/>
      <c r="C337" s="7"/>
      <c r="D337" s="13"/>
    </row>
    <row r="338" spans="1:6" ht="26.25" customHeight="1" x14ac:dyDescent="0.3">
      <c r="B338" s="6"/>
      <c r="C338" s="7"/>
      <c r="D338" s="8"/>
    </row>
    <row r="339" spans="1:6" ht="24.75" customHeight="1" x14ac:dyDescent="0.3">
      <c r="B339" s="6"/>
      <c r="C339" s="7"/>
      <c r="D339" s="9"/>
    </row>
    <row r="340" spans="1:6" ht="24.75" customHeight="1" x14ac:dyDescent="0.3">
      <c r="B340" s="6"/>
      <c r="C340" s="7"/>
      <c r="D340" s="8"/>
    </row>
    <row r="342" spans="1:6" s="5" customFormat="1" ht="24.75" customHeight="1" x14ac:dyDescent="0.3">
      <c r="A342" s="1"/>
      <c r="B342" s="1"/>
      <c r="C342" s="2"/>
      <c r="D342" s="3"/>
      <c r="F342" s="11"/>
    </row>
    <row r="347" spans="1:6" x14ac:dyDescent="0.3">
      <c r="E347" s="14"/>
    </row>
  </sheetData>
  <mergeCells count="11">
    <mergeCell ref="B1:D1"/>
    <mergeCell ref="B2:D2"/>
    <mergeCell ref="B3:D3"/>
    <mergeCell ref="B4:D4"/>
    <mergeCell ref="B5:D5"/>
    <mergeCell ref="B7:D7"/>
    <mergeCell ref="A335:C335"/>
    <mergeCell ref="A11:D11"/>
    <mergeCell ref="C9:D9"/>
    <mergeCell ref="A10:D10"/>
    <mergeCell ref="B8:D8"/>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Распределен на 2017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2017-12-21T10:31:47Z</dcterms:modified>
</cp:coreProperties>
</file>