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780" windowHeight="6000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1'!$15:$15</definedName>
  </definedNames>
  <calcPr fullCalcOnLoad="1"/>
</workbook>
</file>

<file path=xl/sharedStrings.xml><?xml version="1.0" encoding="utf-8"?>
<sst xmlns="http://schemas.openxmlformats.org/spreadsheetml/2006/main" count="587" uniqueCount="480">
  <si>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</si>
  <si>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</si>
  <si>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</si>
  <si>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</si>
  <si>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</si>
  <si>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</si>
  <si>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</si>
  <si>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</si>
  <si>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</si>
  <si>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</si>
  <si>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</si>
  <si>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</si>
  <si>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</si>
  <si>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</si>
  <si>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</si>
  <si>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>182 1 01 02030 01 0000 110</t>
  </si>
  <si>
    <t>182 1 01 02040 01 0000 110</t>
  </si>
  <si>
    <t>000 1 05 00000 00 0000 000</t>
  </si>
  <si>
    <t>182 1 05 03010 01 0000 110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</si>
  <si>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</si>
  <si>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</si>
  <si>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</si>
  <si>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</si>
  <si>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</si>
  <si>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</si>
  <si>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</si>
  <si>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Плата за размещение отходов производства и потребления</t>
  </si>
  <si>
    <t>000 1 13 00000 00 0000 000</t>
  </si>
  <si>
    <t>000 1 13 01995 05 0000 130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</si>
  <si>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</si>
  <si>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</si>
  <si>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</si>
  <si>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</si>
  <si>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</si>
  <si>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000 2 00 00000 00 0000 000</t>
  </si>
  <si>
    <t>000 1 11 05010 00 0000 120</t>
  </si>
  <si>
    <t>000 1 11 05030 00 0000 120</t>
  </si>
  <si>
    <t>000 1 12 01000 01 0000 120</t>
  </si>
  <si>
    <t>000 1 13 01000 00 0000 130</t>
  </si>
  <si>
    <t>000 1 13 01990 00 0000 130</t>
  </si>
  <si>
    <t>000 1 14 06010 00 0000 430</t>
  </si>
  <si>
    <t>Код классификации доходов бюджетов Российской Федерации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</si>
  <si>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</si>
  <si>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</si>
  <si>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</si>
  <si>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</si>
  <si>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</si>
  <si>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</si>
  <si>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</si>
  <si>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</si>
  <si>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</si>
  <si>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</si>
  <si>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000 1 11 05020 00 0000 120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</si>
  <si>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</si>
  <si>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</si>
  <si>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</si>
  <si>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</si>
  <si>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</si>
  <si>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</si>
  <si>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</si>
  <si>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</si>
  <si>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000 1 08 03010 01 0000 110</t>
  </si>
  <si>
    <t>000 1 08 07150 01 0000 110</t>
  </si>
  <si>
    <t>000 1 11 05025 05 0000 120</t>
  </si>
  <si>
    <t>000 1 11 05035 05 0000 120</t>
  </si>
  <si>
    <t>000 1 12 01040 01 0000 120</t>
  </si>
  <si>
    <t>000 1 14 02050 05 0000 410</t>
  </si>
  <si>
    <t>000 1 14 02053 05 0000 410</t>
  </si>
  <si>
    <t>000 1 05 03010 01 0000 110</t>
  </si>
  <si>
    <t>000 1 13 02000 00 0000 130</t>
  </si>
  <si>
    <t>000 1 13 02990 00 0000 130</t>
  </si>
  <si>
    <t>000 1 13 02995 05 0000 130</t>
  </si>
  <si>
    <t>Прочие субвенции</t>
  </si>
  <si>
    <t xml:space="preserve">000 1 11 05013 13 0000 120 </t>
  </si>
  <si>
    <t>041 1 11 05013 13 0000 120</t>
  </si>
  <si>
    <t>041 1 14 06013 13 0000 430</t>
  </si>
  <si>
    <t>000 1 14 06013 13 0000 430</t>
  </si>
  <si>
    <t>041 1 08 07150 01 0000 110</t>
  </si>
  <si>
    <t>000 1 05 04000 02 0000 110</t>
  </si>
  <si>
    <t>Налог, взимаемый в связи с применением патентной системы налогообложения</t>
  </si>
  <si>
    <t>Прочие доходы от компенсации затрат бюджетов муниципальных районов</t>
  </si>
  <si>
    <t>000 1 05 04020 02 0000 110</t>
  </si>
  <si>
    <t>182 1 05 04020 02 0000 110</t>
  </si>
  <si>
    <t xml:space="preserve">НАЛОГОВЫЕ И НЕНАЛОГОВЫЕ ДОХОДЫ </t>
  </si>
  <si>
    <t>000 1 11 05013 05 0000 120</t>
  </si>
  <si>
    <t>041 1 11 05013 05 0000 120</t>
  </si>
  <si>
    <t>000 1 14 06013 05 0000 430</t>
  </si>
  <si>
    <t>041 1 14 06013 05 0000 430</t>
  </si>
  <si>
    <t>Доходы от продажи земельных участков, государственная собственность на которые не разграничена</t>
  </si>
  <si>
    <t>000 1 03 02260 01 0000 110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</si>
  <si>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</si>
  <si>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</si>
  <si>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</si>
  <si>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</si>
  <si>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</si>
  <si>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</si>
  <si>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</si>
  <si>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</si>
  <si>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</si>
  <si>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</si>
  <si>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</si>
  <si>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</si>
  <si>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</si>
  <si>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</si>
  <si>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</si>
  <si>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</si>
  <si>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</si>
  <si>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</si>
  <si>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</si>
  <si>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</si>
  <si>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</si>
  <si>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000 2 02 39999 00 0000 150</t>
  </si>
  <si>
    <t>000 2 02 39999 05 0000 150</t>
  </si>
  <si>
    <t>039 2 02 39999 05 0000 150</t>
  </si>
  <si>
    <t xml:space="preserve">000 1 03 02231 01 0000 110
</t>
  </si>
  <si>
    <t>100 1 03 02231 01 0000 110</t>
  </si>
  <si>
    <t>100 1 03 02241 01 0000 110</t>
  </si>
  <si>
    <t>000 1 03 02241 01 0000 110</t>
  </si>
  <si>
    <t>000 1 03 02251 01 0000 110</t>
  </si>
  <si>
    <t>100 1 03 02251 01 0000 110</t>
  </si>
  <si>
    <t>000 1 03 02261 01 0000 110</t>
  </si>
  <si>
    <t>100 1 03 02261 01 0000 110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</si>
  <si>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</si>
  <si>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</si>
  <si>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</si>
  <si>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035 1 16 07090 05 0000 140</t>
  </si>
  <si>
    <t>000 1 16 01193 01 0000 140</t>
  </si>
  <si>
    <t xml:space="preserve">000 1 16 01000 01 0000 140
</t>
  </si>
  <si>
    <t xml:space="preserve">000 1 16 07090 05 0000 140
</t>
  </si>
  <si>
    <t xml:space="preserve">000 1 16 07090 00 0000 140
</t>
  </si>
  <si>
    <t xml:space="preserve">000 1 16 10000 00 0000 140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</si>
  <si>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</si>
  <si>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</si>
  <si>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</si>
  <si>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</si>
  <si>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</si>
  <si>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</si>
  <si>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</si>
  <si>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</si>
  <si>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</si>
  <si>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</si>
  <si>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</si>
  <si>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</si>
  <si>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</si>
  <si>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</si>
  <si>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</si>
  <si>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</si>
  <si>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</si>
  <si>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</si>
  <si>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</si>
  <si>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</si>
  <si>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</si>
  <si>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</si>
  <si>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</si>
  <si>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</si>
  <si>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</si>
  <si>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</si>
  <si>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</si>
  <si>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</si>
  <si>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</si>
  <si>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</si>
  <si>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</si>
  <si>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</si>
  <si>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</si>
  <si>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</si>
  <si>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</si>
  <si>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</si>
  <si>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</si>
  <si>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</si>
  <si>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</si>
  <si>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</si>
  <si>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</si>
  <si>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</si>
  <si>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</si>
  <si>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</si>
  <si>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</si>
  <si>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</si>
  <si>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</si>
  <si>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</si>
  <si>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</si>
  <si>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</si>
  <si>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</si>
  <si>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</si>
  <si>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</si>
  <si>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</si>
  <si>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</si>
  <si>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муниципальных районов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</si>
  <si>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</si>
  <si>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</si>
  <si>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</si>
  <si>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</si>
  <si>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</si>
  <si>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</si>
  <si>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</si>
  <si>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</si>
  <si>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t xml:space="preserve">000 2 07 05000 05 0000 150
</t>
  </si>
  <si>
    <t xml:space="preserve">000 2 07 05020 05 0000 150
</t>
  </si>
  <si>
    <t xml:space="preserve">039 2 07 05020 05 0000 150
</t>
  </si>
  <si>
    <t>000 1 11 03000 00 0000 120</t>
  </si>
  <si>
    <t xml:space="preserve">Проценты, полученные от предоставления бюджетных кредитов внутри страны
</t>
  </si>
  <si>
    <t>000 1 11 03050 05 0000 120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</si>
  <si>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</si>
  <si>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</si>
  <si>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</si>
  <si>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</si>
  <si>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</si>
  <si>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</si>
  <si>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</si>
  <si>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</si>
  <si>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</si>
  <si>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</si>
  <si>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</si>
  <si>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</si>
  <si>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</si>
  <si>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</si>
  <si>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</si>
  <si>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</si>
  <si>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</si>
  <si>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</si>
  <si>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 xml:space="preserve">Дотации бюджетам муниципальных районов на выравнивание бюджетной обеспеченности из бюджета субъекта Российской Федерации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</si>
  <si>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</si>
  <si>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000 2 02 45303 00 0000 150
</t>
  </si>
  <si>
    <t xml:space="preserve">000 2 02 45303 05 0000 150
</t>
  </si>
  <si>
    <t xml:space="preserve">039 2 02 45303 05 0000 150
</t>
  </si>
  <si>
    <t>к решению Совета Южского</t>
  </si>
  <si>
    <t>муниципального района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</si>
  <si>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</si>
  <si>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</si>
  <si>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000 1 05 01010 01 0000 110
</t>
  </si>
  <si>
    <t xml:space="preserve">Налог, взимаемый с налогоплательщиков, выбравших в качестве объекта налогообложения доходы
</t>
  </si>
  <si>
    <t xml:space="preserve">000 1 05 01011 01 0000 110
</t>
  </si>
  <si>
    <t xml:space="preserve">182 1 05 01011 01 0000 110
</t>
  </si>
  <si>
    <t xml:space="preserve">000 1 05 01020 01 0000 110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</si>
  <si>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</si>
  <si>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000 1 05 01021 01 0000 110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</si>
  <si>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</si>
  <si>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182 1 05 01021 01 0000 110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</si>
  <si>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</si>
  <si>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</si>
  <si>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</si>
  <si>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</si>
  <si>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</si>
  <si>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 государственной корпорацией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</si>
  <si>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</si>
  <si>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</si>
  <si>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000 1 12 01010 01 6000 120</t>
  </si>
  <si>
    <t>048 1 12 01010 01 6000 120</t>
  </si>
  <si>
    <t xml:space="preserve"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</si>
  <si>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000 1 12 01041 01 6000 120</t>
  </si>
  <si>
    <t>048 1 12 01041 01 6000 120</t>
  </si>
  <si>
    <t xml:space="preserve">000 1 12 01042 01 6000 120
</t>
  </si>
  <si>
    <t xml:space="preserve">048 1 12 01042 01 6000 120
</t>
  </si>
  <si>
    <t xml:space="preserve"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
</t>
  </si>
  <si>
    <t>042 1 16 01193 01 0000 140</t>
  </si>
  <si>
    <t>000 1 16 10120 00 0000 140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</si>
  <si>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</si>
  <si>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000 1 16 10123 01 0000 140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</si>
  <si>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</si>
  <si>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000 1 16 10123 01 0051 140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</si>
  <si>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</si>
  <si>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188 1 16 10123 01 0051 140</t>
  </si>
  <si>
    <t>000 1 16 01200 01 0000 140</t>
  </si>
  <si>
    <t>000 1 16 01203 01 0000 140</t>
  </si>
  <si>
    <t>023 1 16 01203 01 0000 140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</si>
  <si>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</si>
  <si>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</si>
  <si>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000 1 16 01150 01 0000 140
</t>
  </si>
  <si>
    <t>000 1 16 01153 01 0000 140</t>
  </si>
  <si>
    <t>042 1 16 01153 01 0000 140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</si>
  <si>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</si>
  <si>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</si>
  <si>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</si>
  <si>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</si>
  <si>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</si>
  <si>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</si>
  <si>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>000 2 02 25304 05 0000 150</t>
  </si>
  <si>
    <t>039 2 02 25304 05 0000 150</t>
  </si>
  <si>
    <t xml:space="preserve">000 2 02 25304 00 0000 150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</si>
  <si>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</si>
  <si>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</si>
  <si>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041 2 02 29999 05 0000 150</t>
  </si>
  <si>
    <t xml:space="preserve">000 2 02 35469 00 0000 150
</t>
  </si>
  <si>
    <t xml:space="preserve">Субвенции бюджетам на проведение Всероссийской переписи населения 2020 года
</t>
  </si>
  <si>
    <t xml:space="preserve">000 2 02 35469 05 0000 150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</si>
  <si>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</si>
  <si>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035 2 02 35469 05 0000 150
</t>
  </si>
  <si>
    <t>000 1 12 01010 01 0000 120</t>
  </si>
  <si>
    <t xml:space="preserve">Плата за выбросы загрязняющих веществ в атмосферный воздух стационарными объектами
</t>
  </si>
  <si>
    <t xml:space="preserve"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</si>
  <si>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</si>
  <si>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</si>
  <si>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</si>
  <si>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</si>
  <si>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</si>
  <si>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</si>
  <si>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</si>
  <si>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</si>
  <si>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</si>
  <si>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</si>
  <si>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</si>
  <si>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000 1 05 01012 01 0000 110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</si>
  <si>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</si>
  <si>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>182 1 05 01012 01 0000 110</t>
  </si>
  <si>
    <t>000 1 05 01022 01 0000 110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</si>
  <si>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</si>
  <si>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>182 1 05 01022 01 0000 110</t>
  </si>
  <si>
    <t>000 1 05 01050 01 0000 110</t>
  </si>
  <si>
    <t xml:space="preserve">Минимальный налог, зачисляемый в бюджеты субъектов Российской Федерации (за налоговые периоды, истекшие до 1 января 2016 года)
</t>
  </si>
  <si>
    <t>182 1 05 01050 01 0000 110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</si>
  <si>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</si>
  <si>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</si>
  <si>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</si>
  <si>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</si>
  <si>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</si>
  <si>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</si>
  <si>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</si>
  <si>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000 1 16 01053 01 0000 140</t>
  </si>
  <si>
    <t>023 1 16 01053 01 0000 140</t>
  </si>
  <si>
    <t>042 1 16 01053 01 0000 140</t>
  </si>
  <si>
    <t>000 1 16 01060 01 0000 140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</si>
  <si>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</si>
  <si>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>000 1 16 01063 01 0000 140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</si>
  <si>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</si>
  <si>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023 1 16 01063 01 0000 140</t>
  </si>
  <si>
    <t>000 1 16 01130 01 0000 140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</si>
  <si>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</si>
  <si>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>000 1 16 01133 01 0000 140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</si>
  <si>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</si>
  <si>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>042 1 16 01133 01 0000 140</t>
  </si>
  <si>
    <t>000 1 16 01170 01 0000 140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</si>
  <si>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</si>
  <si>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>000 1 16 01173 01 0000 140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</si>
  <si>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</si>
  <si>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042 1 16 01173 01 0000 140</t>
  </si>
  <si>
    <t>042 1 16 01203 01 0000 140</t>
  </si>
  <si>
    <t>415 1 16 10123 01 0051 140</t>
  </si>
  <si>
    <t xml:space="preserve">000 2 02 25097 00 0000 150
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</si>
  <si>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</si>
  <si>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000 2 02 25097 05 0000 150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</si>
  <si>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</si>
  <si>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039 2 02 25097 05 0000 150
</t>
  </si>
  <si>
    <t xml:space="preserve">000 2 02 25169 00 0000 150
</t>
  </si>
  <si>
    <t xml:space="preserve">000 2 02 25169 05 0000 150
</t>
  </si>
  <si>
    <t xml:space="preserve"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</si>
  <si>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</si>
  <si>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039 2 02 25169 05 0000 150
</t>
  </si>
  <si>
    <t>000 2 02 25210 00 0000 150</t>
  </si>
  <si>
    <t>000 2 02 25210 05 0000 150</t>
  </si>
  <si>
    <t>039 2 02 25210 05 0000 150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</si>
  <si>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</si>
  <si>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039 1 13 01995 05 0003 130</t>
  </si>
  <si>
    <t>035 1 13 01995 05 0003 130</t>
  </si>
  <si>
    <t>Прочие доходы от оказания платных услуг (работ) получателями средств бюджетов муниципальных районов (доходы от оказания платных услуг казенными учреждениями)</t>
  </si>
  <si>
    <t>041 1 13 02995 05 0001 130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</si>
  <si>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</si>
  <si>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000 1 13 01995 05 0003 130</t>
  </si>
  <si>
    <t>000 1 13 02995 05 0001 130</t>
  </si>
  <si>
    <t>Субсидии  бюджетам на обеспечение образовательных организаций материально-технической базой для внедрения цифровой образовательной среды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</si>
  <si>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</si>
  <si>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</si>
  <si>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</si>
  <si>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>035 1 16 10123 01 0051 140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</si>
  <si>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</si>
  <si>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</si>
  <si>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</si>
  <si>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</si>
  <si>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</si>
  <si>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</si>
  <si>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</si>
  <si>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 xml:space="preserve">000 1 16 01070 01 0000 140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</si>
  <si>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</si>
  <si>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000 1 16 01073 01 0000 140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</si>
  <si>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</si>
  <si>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042 1 16 01073 01 0000 140
</t>
  </si>
  <si>
    <t xml:space="preserve">000 1 16 01074 01 0000 140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</si>
  <si>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</si>
  <si>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 xml:space="preserve">035 1 16 01074 01 0000 140
</t>
  </si>
  <si>
    <t xml:space="preserve">000 1 16 01090 01 0000 140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</si>
  <si>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
</t>
  </si>
  <si>
    <t xml:space="preserve">000 1 16 01093 01 0000 140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</si>
  <si>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</si>
  <si>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 xml:space="preserve">042 1 16 01093 01 0000 140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</si>
  <si>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</si>
  <si>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</si>
  <si>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</si>
  <si>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000 1 16 11000 01 0000 140
</t>
  </si>
  <si>
    <t xml:space="preserve">000 1 16 11050 01 0000 140
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</si>
  <si>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</si>
  <si>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Платежи, уплачиваемые в целях возмещения вреда
</t>
  </si>
  <si>
    <t xml:space="preserve">041 1 16 11050 01 0000 140
</t>
  </si>
  <si>
    <t>000 2 02 49999 00 0000 150</t>
  </si>
  <si>
    <t xml:space="preserve">Прочие межбюджетные трансферты, передаваемые бюджетам
</t>
  </si>
  <si>
    <t>000 2 02 49999 05 0000 150</t>
  </si>
  <si>
    <t>044 2 02 49999 05 0000 150</t>
  </si>
  <si>
    <t>044 1 13 02995 05 0001 130</t>
  </si>
  <si>
    <t>000 1 16 01080 01 0000 140</t>
  </si>
  <si>
    <t>000 1 16 01083 01 0000 140</t>
  </si>
  <si>
    <t>023 1 16 01083 01 0000 140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</si>
  <si>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</si>
  <si>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</si>
  <si>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034 1 16 11050 01 0000 140</t>
  </si>
  <si>
    <t>035 2 02 49999 05 0000 150</t>
  </si>
  <si>
    <t>000 1 05 02020 02 0000 110</t>
  </si>
  <si>
    <t>182 1 05 02020 02 0000 110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</si>
  <si>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</si>
  <si>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000 1 11 09000 00 0000 120
</t>
  </si>
  <si>
    <t xml:space="preserve">000 1 11 09080 00 0000 120
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</si>
  <si>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
</t>
  </si>
  <si>
    <t xml:space="preserve">000 1 11 09080 05 0000 120
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</si>
  <si>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
</t>
  </si>
  <si>
    <t xml:space="preserve">041 1 11 09080 05 0000 120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</si>
  <si>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</si>
  <si>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042 1 16 01083 01 0000 140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</si>
  <si>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</si>
  <si>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</si>
  <si>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</si>
  <si>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</si>
  <si>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>000 1 16 07010 05 0000 140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</si>
  <si>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</si>
  <si>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044 2 02 29999 05 0000 150</t>
  </si>
  <si>
    <t xml:space="preserve">000 1 09 06000 02 0000 110
</t>
  </si>
  <si>
    <t xml:space="preserve">Прочие налоги и сборы (по отмененным налогам и сборам субъектов Российской Федерации
</t>
  </si>
  <si>
    <t>000 1 09 06010 02 0000 110</t>
  </si>
  <si>
    <t xml:space="preserve">Налог с продаж
</t>
  </si>
  <si>
    <t>182 1 09 06010 02 0000 110</t>
  </si>
  <si>
    <t>000 2 02 25519 05 0000 150</t>
  </si>
  <si>
    <t>000 2 02 25519 00 0000 150</t>
  </si>
  <si>
    <t xml:space="preserve">Субсидии бюджетам на поддержку отрасли культуры
</t>
  </si>
  <si>
    <t xml:space="preserve">Субсидии бюджетам муниципальных районов на поддержку отрасли культуры
</t>
  </si>
  <si>
    <t>035 2 02 25519 05 0000 150</t>
  </si>
  <si>
    <t xml:space="preserve">039 1 16 07010 05 0000 140
</t>
  </si>
  <si>
    <t xml:space="preserve">044 1 16 07010 05 0000 140
</t>
  </si>
  <si>
    <t>Приложение № 1</t>
  </si>
  <si>
    <t>"Об утверждении отчета</t>
  </si>
  <si>
    <t>об исполнении бюджета Южского</t>
  </si>
  <si>
    <t>за 2021 год"</t>
  </si>
  <si>
    <t>от _________________ № _____</t>
  </si>
  <si>
    <t xml:space="preserve">Доходы бюджета Южского муниципального района по кодам классификации доходов бюджетов за 2021 год </t>
  </si>
  <si>
    <t>Процент исполнения (%)</t>
  </si>
  <si>
    <t>Исполнено за 2021 год (руб.)</t>
  </si>
  <si>
    <t xml:space="preserve">000 1 06 00000 00 0000 000
</t>
  </si>
  <si>
    <t>НАЛОГИ НА ИУЩЕСТВО</t>
  </si>
  <si>
    <t xml:space="preserve">000 1 06 01000 00 0000 110
</t>
  </si>
  <si>
    <t xml:space="preserve">Налог на имущество физических лиц
</t>
  </si>
  <si>
    <t xml:space="preserve">000 1 06 01030 05 0000 110
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</si>
  <si>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
</t>
  </si>
  <si>
    <t xml:space="preserve">182 1 06 01030 05 0000 110
</t>
  </si>
  <si>
    <t>000 1 09 04000 00 0000 110</t>
  </si>
  <si>
    <t xml:space="preserve">Налоги на имущество
</t>
  </si>
  <si>
    <t xml:space="preserve">000 1 09 04050 00 0000 110
</t>
  </si>
  <si>
    <t xml:space="preserve">Земельный налог (по обязательствам, возникшим до 1 января 2006 года)
</t>
  </si>
  <si>
    <t xml:space="preserve">000 1 09 04053 05 0000 110
</t>
  </si>
  <si>
    <t xml:space="preserve">Земельный налог (по обязательствам, возникшим до 1 января 2006 года), мобилизуемый на межселенных территориях
</t>
  </si>
  <si>
    <t xml:space="preserve">182 1 09 04053 05 0000 110
</t>
  </si>
  <si>
    <t>Решением Совета Южского муниципального района от 25.12.2020 № 46 "О бюджете Южского муниципального района на 2021 год и на плановый период 2022 и 2023 годов" (руб.)</t>
  </si>
  <si>
    <t>Решением Совета Южского муниципального района от 25.12.2020 № 46 "О бюджете Южского муниципального района на 2021 год и на плановый период 2022 и 2023 годов" с учетом изменений на отчетную дату (руб.)</t>
  </si>
  <si>
    <t>Утверждено на год</t>
  </si>
  <si>
    <t>000 1 07 00000 00 0000 000</t>
  </si>
  <si>
    <t>000 1 07 01000 01 0000 110</t>
  </si>
  <si>
    <t>000 1 07 01020 01 0000 110</t>
  </si>
  <si>
    <t>182 1 07 01020 01 0000 110</t>
  </si>
  <si>
    <t>Налог на добычу общераспространенных полезных ископаемых</t>
  </si>
  <si>
    <t>Налог на добычу полезных ископаемых</t>
  </si>
  <si>
    <t>НАЛОГИ, СБОРЫ И РЕГУЛЯРНЫЕ ПЛАТЕЖИ ЗА ПОЛЬЗОВАНИЕ ПРИРОДНЫМИ РЕСУРСАМИ</t>
  </si>
  <si>
    <t>041 1 16 07090 05 0000 140</t>
  </si>
  <si>
    <t>000 2 02 20216 00 0000 150</t>
  </si>
  <si>
    <t>000 2 02 20216 05 0000 150</t>
  </si>
  <si>
    <t>044 2 02 20216 05 0000 150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</si>
  <si>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</si>
  <si>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</si>
  <si>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</si>
  <si>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</si>
  <si>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000 2 02 35120 05 0000 150
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</si>
  <si>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</si>
  <si>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035 2 02 35120 05 0000 150
</t>
  </si>
  <si>
    <r>
      <t xml:space="preserve">НАЛОГИ НА СОВОКУПНЫЙ ДОХОД                      </t>
    </r>
  </si>
  <si>
    <t xml:space="preserve">ГОСУДАРСТВЕННАЯ ПОШЛИНА    </t>
  </si>
  <si>
    <t xml:space="preserve">ПРОЧИЕ БЕЗВОЗМЕЗДНЫЕ ПОСТУПЛЕНИЯ 
</t>
  </si>
  <si>
    <t xml:space="preserve">Прочие безвозмездные поступления в бюджеты муниципальных районов 
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</si>
  <si>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 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</si>
</sst>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1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3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sz val="13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/>
    </xf>
    <xf numFmtId="4" fontId="2" fillId="33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top" wrapText="1"/>
    </xf>
    <xf numFmtId="2" fontId="8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11" fontId="8" fillId="33" borderId="10" xfId="0" applyNumberFormat="1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/>
    </xf>
    <xf numFmtId="2" fontId="3" fillId="33" borderId="12" xfId="0" applyNumberFormat="1" applyFont="1" applyFill="1" applyBorder="1" applyAlignment="1">
      <alignment horizontal="left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50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">
      <c r="A1" s="1">
        <v>725412083</v>
      </c>
    </row>
    <row r="4" ht="12">
      <c r="A4" t="s">
        <v>0</v>
      </c>
    </row>
    <row r="5" ht="12">
      <c r="A5" t="s">
        <v>1</v>
      </c>
    </row>
    <row r="6" ht="12">
      <c r="A6" t="s">
        <v>2</v>
      </c>
    </row>
    <row r="8" ht="12">
      <c r="A8" t="s">
        <v>3</v>
      </c>
    </row>
    <row r="9" ht="12">
      <c r="A9" t="s">
        <v>4</v>
      </c>
    </row>
    <row r="10" ht="12">
      <c r="A10" t="s">
        <v>5</v>
      </c>
    </row>
    <row r="11" ht="12">
      <c r="A11" t="s">
        <v>6</v>
      </c>
    </row>
    <row r="13" ht="12">
      <c r="A13" t="s">
        <v>7</v>
      </c>
    </row>
    <row r="14" ht="12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2"/>
  <sheetViews>
    <sheetView tabSelected="1" zoomScale="64" zoomScaleNormal="64" zoomScalePageLayoutView="0" workbookViewId="0" topLeftCell="A293">
      <selection activeCell="B300" sqref="B300"/>
    </sheetView>
  </sheetViews>
  <sheetFormatPr defaultColWidth="9.125" defaultRowHeight="12.75"/>
  <cols>
    <col min="1" max="1" width="35.75390625" style="2" customWidth="1"/>
    <col min="2" max="2" width="48.50390625" style="3" customWidth="1"/>
    <col min="3" max="3" width="25.125" style="3" customWidth="1"/>
    <col min="4" max="4" width="22.125" style="3" customWidth="1"/>
    <col min="5" max="5" width="19.50390625" style="5" customWidth="1"/>
    <col min="6" max="6" width="20.00390625" style="3" customWidth="1"/>
    <col min="7" max="7" width="15.125" style="3" bestFit="1" customWidth="1"/>
    <col min="8" max="8" width="14.75390625" style="3" customWidth="1"/>
    <col min="9" max="9" width="14.125" style="3" customWidth="1"/>
    <col min="10" max="16384" width="9.125" style="3" customWidth="1"/>
  </cols>
  <sheetData>
    <row r="1" spans="4:6" ht="18">
      <c r="D1" s="50" t="s">
        <v>432</v>
      </c>
      <c r="E1" s="50"/>
      <c r="F1" s="50"/>
    </row>
    <row r="2" spans="4:6" ht="18">
      <c r="D2" s="50" t="s">
        <v>224</v>
      </c>
      <c r="E2" s="50"/>
      <c r="F2" s="50"/>
    </row>
    <row r="3" spans="4:6" ht="18">
      <c r="D3" s="50" t="s">
        <v>225</v>
      </c>
      <c r="E3" s="50"/>
      <c r="F3" s="50"/>
    </row>
    <row r="4" spans="4:6" ht="18">
      <c r="D4" s="50" t="s">
        <v>433</v>
      </c>
      <c r="E4" s="50"/>
      <c r="F4" s="50"/>
    </row>
    <row r="5" spans="4:6" ht="18">
      <c r="D5" s="50" t="s">
        <v>434</v>
      </c>
      <c r="E5" s="50"/>
      <c r="F5" s="50"/>
    </row>
    <row r="6" spans="4:6" ht="18">
      <c r="D6" s="50" t="s">
        <v>225</v>
      </c>
      <c r="E6" s="50"/>
      <c r="F6" s="50"/>
    </row>
    <row r="7" spans="4:6" ht="18">
      <c r="D7" s="50" t="s">
        <v>435</v>
      </c>
      <c r="E7" s="50"/>
      <c r="F7" s="50"/>
    </row>
    <row r="8" spans="4:6" ht="18">
      <c r="D8" s="50" t="s">
        <v>436</v>
      </c>
      <c r="E8" s="50"/>
      <c r="F8" s="50"/>
    </row>
    <row r="11" spans="1:6" ht="27" customHeight="1">
      <c r="A11" s="56" t="s">
        <v>437</v>
      </c>
      <c r="B11" s="56"/>
      <c r="C11" s="56"/>
      <c r="D11" s="56"/>
      <c r="E11" s="56"/>
      <c r="F11" s="56"/>
    </row>
    <row r="12" spans="1:6" ht="25.5" customHeight="1" hidden="1">
      <c r="A12" s="57"/>
      <c r="B12" s="58"/>
      <c r="C12" s="58"/>
      <c r="D12" s="58"/>
      <c r="E12" s="58"/>
      <c r="F12" s="58"/>
    </row>
    <row r="13" spans="1:6" ht="42.75" customHeight="1">
      <c r="A13" s="53" t="s">
        <v>41</v>
      </c>
      <c r="B13" s="55" t="s">
        <v>42</v>
      </c>
      <c r="C13" s="59" t="s">
        <v>456</v>
      </c>
      <c r="D13" s="60"/>
      <c r="E13" s="53" t="s">
        <v>439</v>
      </c>
      <c r="F13" s="53" t="s">
        <v>438</v>
      </c>
    </row>
    <row r="14" spans="1:6" ht="295.5" customHeight="1">
      <c r="A14" s="54"/>
      <c r="B14" s="55"/>
      <c r="C14" s="34" t="s">
        <v>454</v>
      </c>
      <c r="D14" s="34" t="s">
        <v>455</v>
      </c>
      <c r="E14" s="54"/>
      <c r="F14" s="54"/>
    </row>
    <row r="15" spans="1:6" ht="18">
      <c r="A15" s="22">
        <v>1</v>
      </c>
      <c r="B15" s="22">
        <v>2</v>
      </c>
      <c r="C15" s="22"/>
      <c r="D15" s="19">
        <v>3</v>
      </c>
      <c r="E15" s="21">
        <v>4</v>
      </c>
      <c r="F15" s="21">
        <v>5</v>
      </c>
    </row>
    <row r="16" spans="1:6" ht="33">
      <c r="A16" s="12" t="s">
        <v>8</v>
      </c>
      <c r="B16" s="41" t="s">
        <v>83</v>
      </c>
      <c r="C16" s="18">
        <f>C17+C27+C41+C66+C70+C74+C81+C93+C113+C123+C137+C148</f>
        <v>65868822.49</v>
      </c>
      <c r="D16" s="18">
        <f>D17+D27+D41+D74++D93+D113+D123+D137+D148+D66+D81</f>
        <v>71854982.39999999</v>
      </c>
      <c r="E16" s="18">
        <f>E17+E27+E41+E74++E93+E113+E123+E137+E148+E66+E81</f>
        <v>75744649.08999999</v>
      </c>
      <c r="F16" s="18">
        <f>E16/D16*100</f>
        <v>105.41321778961287</v>
      </c>
    </row>
    <row r="17" spans="1:6" ht="18">
      <c r="A17" s="12" t="s">
        <v>9</v>
      </c>
      <c r="B17" s="41" t="s">
        <v>10</v>
      </c>
      <c r="C17" s="18">
        <f>C18</f>
        <v>55175182.6</v>
      </c>
      <c r="D17" s="18">
        <f>D18</f>
        <v>55125182.6</v>
      </c>
      <c r="E17" s="18">
        <f>E18</f>
        <v>57055149.25000001</v>
      </c>
      <c r="F17" s="18">
        <f aca="true" t="shared" si="0" ref="F17:F80">E17/D17*100</f>
        <v>103.50106169081425</v>
      </c>
    </row>
    <row r="18" spans="1:6" ht="18">
      <c r="A18" s="27" t="s">
        <v>11</v>
      </c>
      <c r="B18" s="42" t="s">
        <v>12</v>
      </c>
      <c r="C18" s="10">
        <f>C19+C21+C23+C25</f>
        <v>55175182.6</v>
      </c>
      <c r="D18" s="10">
        <f>D19+D21+D25+D23</f>
        <v>55125182.6</v>
      </c>
      <c r="E18" s="10">
        <f>E19+E21+E25+E23</f>
        <v>57055149.25000001</v>
      </c>
      <c r="F18" s="38">
        <f t="shared" si="0"/>
        <v>103.50106169081425</v>
      </c>
    </row>
    <row r="19" spans="1:6" ht="115.5">
      <c r="A19" s="27" t="s">
        <v>53</v>
      </c>
      <c r="B19" s="43" t="s">
        <v>131</v>
      </c>
      <c r="C19" s="10">
        <f>C20</f>
        <v>54562182.6</v>
      </c>
      <c r="D19" s="20">
        <f>D20</f>
        <v>54549341.410000004</v>
      </c>
      <c r="E19" s="20">
        <f>E20</f>
        <v>56521704.38</v>
      </c>
      <c r="F19" s="38">
        <f t="shared" si="0"/>
        <v>103.61574112357373</v>
      </c>
    </row>
    <row r="20" spans="1:6" ht="115.5">
      <c r="A20" s="27" t="s">
        <v>13</v>
      </c>
      <c r="B20" s="43" t="s">
        <v>131</v>
      </c>
      <c r="C20" s="10">
        <v>54562182.6</v>
      </c>
      <c r="D20" s="20">
        <f>51302090+1585000+1425492.6+249600+30000-45000-17841.19+20000</f>
        <v>54549341.410000004</v>
      </c>
      <c r="E20" s="20">
        <v>56521704.38</v>
      </c>
      <c r="F20" s="38">
        <f t="shared" si="0"/>
        <v>103.61574112357373</v>
      </c>
    </row>
    <row r="21" spans="1:6" ht="157.5" customHeight="1">
      <c r="A21" s="27" t="s">
        <v>54</v>
      </c>
      <c r="B21" s="43" t="s">
        <v>132</v>
      </c>
      <c r="C21" s="10">
        <f>C22</f>
        <v>160000</v>
      </c>
      <c r="D21" s="20">
        <f>D22</f>
        <v>132502.88999999998</v>
      </c>
      <c r="E21" s="20">
        <f>E22</f>
        <v>131767.59</v>
      </c>
      <c r="F21" s="38">
        <f t="shared" si="0"/>
        <v>99.44506870755802</v>
      </c>
    </row>
    <row r="22" spans="1:6" ht="154.5" customHeight="1">
      <c r="A22" s="27" t="s">
        <v>14</v>
      </c>
      <c r="B22" s="43" t="s">
        <v>132</v>
      </c>
      <c r="C22" s="10">
        <v>160000</v>
      </c>
      <c r="D22" s="20">
        <f>160000-15000-40338.3+9000+17841.19+1000</f>
        <v>132502.88999999998</v>
      </c>
      <c r="E22" s="20">
        <v>131767.59</v>
      </c>
      <c r="F22" s="38">
        <f t="shared" si="0"/>
        <v>99.44506870755802</v>
      </c>
    </row>
    <row r="23" spans="1:6" ht="66">
      <c r="A23" s="27" t="s">
        <v>55</v>
      </c>
      <c r="B23" s="42" t="s">
        <v>133</v>
      </c>
      <c r="C23" s="10">
        <f>C24</f>
        <v>303000</v>
      </c>
      <c r="D23" s="14">
        <f>D24</f>
        <v>385938.3</v>
      </c>
      <c r="E23" s="14">
        <f>E24</f>
        <v>349261.28</v>
      </c>
      <c r="F23" s="38">
        <f t="shared" si="0"/>
        <v>90.49666229031948</v>
      </c>
    </row>
    <row r="24" spans="1:6" ht="66">
      <c r="A24" s="27" t="s">
        <v>15</v>
      </c>
      <c r="B24" s="42" t="s">
        <v>133</v>
      </c>
      <c r="C24" s="10">
        <v>303000</v>
      </c>
      <c r="D24" s="14">
        <f>303000+40338.3+12600+50000-20000</f>
        <v>385938.3</v>
      </c>
      <c r="E24" s="14">
        <v>349261.28</v>
      </c>
      <c r="F24" s="38">
        <f t="shared" si="0"/>
        <v>90.49666229031948</v>
      </c>
    </row>
    <row r="25" spans="1:6" ht="132">
      <c r="A25" s="27" t="s">
        <v>56</v>
      </c>
      <c r="B25" s="43" t="s">
        <v>134</v>
      </c>
      <c r="C25" s="10">
        <f>C26</f>
        <v>150000</v>
      </c>
      <c r="D25" s="14">
        <f>D26</f>
        <v>57400</v>
      </c>
      <c r="E25" s="14">
        <f>E26</f>
        <v>52416</v>
      </c>
      <c r="F25" s="38">
        <f t="shared" si="0"/>
        <v>91.31707317073172</v>
      </c>
    </row>
    <row r="26" spans="1:6" ht="132">
      <c r="A26" s="27" t="s">
        <v>16</v>
      </c>
      <c r="B26" s="43" t="s">
        <v>134</v>
      </c>
      <c r="C26" s="10">
        <v>150000</v>
      </c>
      <c r="D26" s="14">
        <f>150000-50000+15000-12600-30000-5000-9000-1000</f>
        <v>57400</v>
      </c>
      <c r="E26" s="14">
        <v>52416</v>
      </c>
      <c r="F26" s="38">
        <f t="shared" si="0"/>
        <v>91.31707317073172</v>
      </c>
    </row>
    <row r="27" spans="1:6" s="6" customFormat="1" ht="66">
      <c r="A27" s="23" t="s">
        <v>43</v>
      </c>
      <c r="B27" s="44" t="s">
        <v>48</v>
      </c>
      <c r="C27" s="18">
        <f>C28</f>
        <v>4364000</v>
      </c>
      <c r="D27" s="13">
        <f>D28</f>
        <v>4984330</v>
      </c>
      <c r="E27" s="13">
        <f>E28</f>
        <v>5465835.9799999995</v>
      </c>
      <c r="F27" s="18">
        <f t="shared" si="0"/>
        <v>109.66039527880376</v>
      </c>
    </row>
    <row r="28" spans="1:6" ht="49.5">
      <c r="A28" s="19" t="s">
        <v>44</v>
      </c>
      <c r="B28" s="45" t="s">
        <v>135</v>
      </c>
      <c r="C28" s="10">
        <f>C29+C32+C38+C35</f>
        <v>4364000</v>
      </c>
      <c r="D28" s="14">
        <f>D29+D32+D35+D38</f>
        <v>4984330</v>
      </c>
      <c r="E28" s="14">
        <f>E29+E32+E35+E38</f>
        <v>5465835.9799999995</v>
      </c>
      <c r="F28" s="38">
        <f t="shared" si="0"/>
        <v>109.66039527880376</v>
      </c>
    </row>
    <row r="29" spans="1:6" ht="108.75" customHeight="1">
      <c r="A29" s="19" t="s">
        <v>59</v>
      </c>
      <c r="B29" s="43" t="s">
        <v>136</v>
      </c>
      <c r="C29" s="10">
        <f aca="true" t="shared" si="1" ref="C29:E30">C30</f>
        <v>1812000</v>
      </c>
      <c r="D29" s="14">
        <f t="shared" si="1"/>
        <v>2291000</v>
      </c>
      <c r="E29" s="14">
        <f t="shared" si="1"/>
        <v>2523355.59</v>
      </c>
      <c r="F29" s="38">
        <f t="shared" si="0"/>
        <v>110.14210344827586</v>
      </c>
    </row>
    <row r="30" spans="1:6" ht="168" customHeight="1">
      <c r="A30" s="24" t="s">
        <v>114</v>
      </c>
      <c r="B30" s="43" t="s">
        <v>137</v>
      </c>
      <c r="C30" s="10">
        <f t="shared" si="1"/>
        <v>1812000</v>
      </c>
      <c r="D30" s="14">
        <f t="shared" si="1"/>
        <v>2291000</v>
      </c>
      <c r="E30" s="14">
        <f t="shared" si="1"/>
        <v>2523355.59</v>
      </c>
      <c r="F30" s="38">
        <f t="shared" si="0"/>
        <v>110.14210344827586</v>
      </c>
    </row>
    <row r="31" spans="1:6" ht="165">
      <c r="A31" s="19" t="s">
        <v>115</v>
      </c>
      <c r="B31" s="43" t="s">
        <v>137</v>
      </c>
      <c r="C31" s="10">
        <v>1812000</v>
      </c>
      <c r="D31" s="14">
        <f>1812000+113000+121000+240000+5000</f>
        <v>2291000</v>
      </c>
      <c r="E31" s="14">
        <v>2523355.59</v>
      </c>
      <c r="F31" s="38">
        <f t="shared" si="0"/>
        <v>110.14210344827586</v>
      </c>
    </row>
    <row r="32" spans="1:6" ht="132">
      <c r="A32" s="19" t="s">
        <v>58</v>
      </c>
      <c r="B32" s="43" t="s">
        <v>138</v>
      </c>
      <c r="C32" s="10">
        <f aca="true" t="shared" si="2" ref="C32:E33">C33</f>
        <v>18000</v>
      </c>
      <c r="D32" s="14">
        <f t="shared" si="2"/>
        <v>17000</v>
      </c>
      <c r="E32" s="14">
        <f t="shared" si="2"/>
        <v>17746.07</v>
      </c>
      <c r="F32" s="38">
        <f t="shared" si="0"/>
        <v>104.38864705882354</v>
      </c>
    </row>
    <row r="33" spans="1:6" ht="203.25" customHeight="1">
      <c r="A33" s="19" t="s">
        <v>117</v>
      </c>
      <c r="B33" s="43" t="s">
        <v>139</v>
      </c>
      <c r="C33" s="10">
        <f t="shared" si="2"/>
        <v>18000</v>
      </c>
      <c r="D33" s="14">
        <f t="shared" si="2"/>
        <v>17000</v>
      </c>
      <c r="E33" s="14">
        <f t="shared" si="2"/>
        <v>17746.07</v>
      </c>
      <c r="F33" s="38">
        <f t="shared" si="0"/>
        <v>104.38864705882354</v>
      </c>
    </row>
    <row r="34" spans="1:6" ht="204.75" customHeight="1">
      <c r="A34" s="19" t="s">
        <v>116</v>
      </c>
      <c r="B34" s="43" t="s">
        <v>139</v>
      </c>
      <c r="C34" s="10">
        <v>18000</v>
      </c>
      <c r="D34" s="14">
        <f>18000-1000</f>
        <v>17000</v>
      </c>
      <c r="E34" s="14">
        <v>17746.07</v>
      </c>
      <c r="F34" s="38">
        <f t="shared" si="0"/>
        <v>104.38864705882354</v>
      </c>
    </row>
    <row r="35" spans="1:6" ht="109.5" customHeight="1">
      <c r="A35" s="19" t="s">
        <v>57</v>
      </c>
      <c r="B35" s="43" t="s">
        <v>140</v>
      </c>
      <c r="C35" s="10">
        <f aca="true" t="shared" si="3" ref="C35:E36">C36</f>
        <v>2784000</v>
      </c>
      <c r="D35" s="14">
        <f t="shared" si="3"/>
        <v>3074330</v>
      </c>
      <c r="E35" s="14">
        <f t="shared" si="3"/>
        <v>3355031.23</v>
      </c>
      <c r="F35" s="38">
        <f t="shared" si="0"/>
        <v>109.1304846909733</v>
      </c>
    </row>
    <row r="36" spans="1:6" ht="177" customHeight="1">
      <c r="A36" s="19" t="s">
        <v>118</v>
      </c>
      <c r="B36" s="43" t="s">
        <v>122</v>
      </c>
      <c r="C36" s="10">
        <f t="shared" si="3"/>
        <v>2784000</v>
      </c>
      <c r="D36" s="14">
        <f t="shared" si="3"/>
        <v>3074330</v>
      </c>
      <c r="E36" s="14">
        <f t="shared" si="3"/>
        <v>3355031.23</v>
      </c>
      <c r="F36" s="38">
        <f t="shared" si="0"/>
        <v>109.1304846909733</v>
      </c>
    </row>
    <row r="37" spans="1:6" ht="169.5" customHeight="1">
      <c r="A37" s="19" t="s">
        <v>119</v>
      </c>
      <c r="B37" s="43" t="s">
        <v>122</v>
      </c>
      <c r="C37" s="10">
        <v>2784000</v>
      </c>
      <c r="D37" s="14">
        <f>2784000+50000+20000+214330+6000</f>
        <v>3074330</v>
      </c>
      <c r="E37" s="14">
        <v>3355031.23</v>
      </c>
      <c r="F37" s="38">
        <f t="shared" si="0"/>
        <v>109.1304846909733</v>
      </c>
    </row>
    <row r="38" spans="1:6" ht="99">
      <c r="A38" s="19" t="s">
        <v>89</v>
      </c>
      <c r="B38" s="43" t="s">
        <v>141</v>
      </c>
      <c r="C38" s="10">
        <f aca="true" t="shared" si="4" ref="C38:E39">C39</f>
        <v>-250000</v>
      </c>
      <c r="D38" s="14">
        <f t="shared" si="4"/>
        <v>-398000</v>
      </c>
      <c r="E38" s="14">
        <f t="shared" si="4"/>
        <v>-430296.91</v>
      </c>
      <c r="F38" s="38">
        <f t="shared" si="0"/>
        <v>108.11480150753768</v>
      </c>
    </row>
    <row r="39" spans="1:6" ht="165">
      <c r="A39" s="19" t="s">
        <v>120</v>
      </c>
      <c r="B39" s="43" t="s">
        <v>142</v>
      </c>
      <c r="C39" s="10">
        <f t="shared" si="4"/>
        <v>-250000</v>
      </c>
      <c r="D39" s="14">
        <f t="shared" si="4"/>
        <v>-398000</v>
      </c>
      <c r="E39" s="14">
        <f t="shared" si="4"/>
        <v>-430296.91</v>
      </c>
      <c r="F39" s="38">
        <f t="shared" si="0"/>
        <v>108.11480150753768</v>
      </c>
    </row>
    <row r="40" spans="1:6" ht="165">
      <c r="A40" s="19" t="s">
        <v>121</v>
      </c>
      <c r="B40" s="43" t="s">
        <v>142</v>
      </c>
      <c r="C40" s="10">
        <v>-250000</v>
      </c>
      <c r="D40" s="14">
        <f>-250000-50000-20000-41000-27000-10000</f>
        <v>-398000</v>
      </c>
      <c r="E40" s="14">
        <v>-430296.91</v>
      </c>
      <c r="F40" s="38">
        <f t="shared" si="0"/>
        <v>108.11480150753768</v>
      </c>
    </row>
    <row r="41" spans="1:6" ht="18">
      <c r="A41" s="12" t="s">
        <v>17</v>
      </c>
      <c r="B41" s="41" t="s">
        <v>475</v>
      </c>
      <c r="C41" s="18">
        <f>C42+C55+C60+C63</f>
        <v>2431157.64</v>
      </c>
      <c r="D41" s="18">
        <f>D60+D63+D42+D55</f>
        <v>4403492.6899999995</v>
      </c>
      <c r="E41" s="18">
        <f>E60+E63+E42+E55</f>
        <v>4737107.93</v>
      </c>
      <c r="F41" s="18">
        <f t="shared" si="0"/>
        <v>107.57615064872516</v>
      </c>
    </row>
    <row r="42" spans="1:6" ht="49.5">
      <c r="A42" s="27" t="s">
        <v>226</v>
      </c>
      <c r="B42" s="42" t="s">
        <v>227</v>
      </c>
      <c r="C42" s="10">
        <f>C43+C46+C48+C51+C54</f>
        <v>1388000</v>
      </c>
      <c r="D42" s="10">
        <f>D43+D48+D53</f>
        <v>2078950.8599999999</v>
      </c>
      <c r="E42" s="10">
        <f>E43+E48+E53</f>
        <v>2131808.3699999996</v>
      </c>
      <c r="F42" s="38">
        <f t="shared" si="0"/>
        <v>102.54250886911294</v>
      </c>
    </row>
    <row r="43" spans="1:6" ht="66">
      <c r="A43" s="27" t="s">
        <v>228</v>
      </c>
      <c r="B43" s="42" t="s">
        <v>229</v>
      </c>
      <c r="C43" s="10">
        <f>C44</f>
        <v>735640</v>
      </c>
      <c r="D43" s="10">
        <f>D44+D46</f>
        <v>1101927.81</v>
      </c>
      <c r="E43" s="10">
        <f>E44+E46</f>
        <v>1132252</v>
      </c>
      <c r="F43" s="38">
        <f t="shared" si="0"/>
        <v>102.75192165265345</v>
      </c>
    </row>
    <row r="44" spans="1:6" ht="53.25" customHeight="1">
      <c r="A44" s="27" t="s">
        <v>230</v>
      </c>
      <c r="B44" s="42" t="s">
        <v>229</v>
      </c>
      <c r="C44" s="10">
        <f>C45</f>
        <v>735640</v>
      </c>
      <c r="D44" s="10">
        <f>D45</f>
        <v>1101737.3900000001</v>
      </c>
      <c r="E44" s="10">
        <f>E45</f>
        <v>1132062.38</v>
      </c>
      <c r="F44" s="38">
        <f t="shared" si="0"/>
        <v>102.7524698966602</v>
      </c>
    </row>
    <row r="45" spans="1:6" ht="54.75" customHeight="1">
      <c r="A45" s="27" t="s">
        <v>231</v>
      </c>
      <c r="B45" s="42" t="s">
        <v>229</v>
      </c>
      <c r="C45" s="10">
        <v>735640</v>
      </c>
      <c r="D45" s="10">
        <f>735640+39097.39-250-25000-3950+200000+113200+33000+10000</f>
        <v>1101737.3900000001</v>
      </c>
      <c r="E45" s="10">
        <v>1132062.38</v>
      </c>
      <c r="F45" s="38">
        <f t="shared" si="0"/>
        <v>102.7524698966602</v>
      </c>
    </row>
    <row r="46" spans="1:6" ht="82.5">
      <c r="A46" s="27" t="s">
        <v>300</v>
      </c>
      <c r="B46" s="42" t="s">
        <v>301</v>
      </c>
      <c r="C46" s="10">
        <f>C47</f>
        <v>0</v>
      </c>
      <c r="D46" s="10">
        <f>D47</f>
        <v>190.42000000000002</v>
      </c>
      <c r="E46" s="10">
        <f>E47</f>
        <v>189.62</v>
      </c>
      <c r="F46" s="38">
        <f t="shared" si="0"/>
        <v>99.5798760634387</v>
      </c>
    </row>
    <row r="47" spans="1:6" ht="74.25" customHeight="1">
      <c r="A47" s="27" t="s">
        <v>302</v>
      </c>
      <c r="B47" s="42" t="s">
        <v>301</v>
      </c>
      <c r="C47" s="10">
        <v>0</v>
      </c>
      <c r="D47" s="10">
        <f>60-16.25+61.52+84.72+0.43</f>
        <v>190.42000000000002</v>
      </c>
      <c r="E47" s="10">
        <v>189.62</v>
      </c>
      <c r="F47" s="38">
        <f t="shared" si="0"/>
        <v>99.5798760634387</v>
      </c>
    </row>
    <row r="48" spans="1:6" ht="71.25" customHeight="1">
      <c r="A48" s="27" t="s">
        <v>232</v>
      </c>
      <c r="B48" s="42" t="s">
        <v>233</v>
      </c>
      <c r="C48" s="10">
        <f>C49</f>
        <v>652360</v>
      </c>
      <c r="D48" s="10">
        <f>D49+D51</f>
        <v>977042.92</v>
      </c>
      <c r="E48" s="10">
        <f>E49+E51</f>
        <v>999512.8</v>
      </c>
      <c r="F48" s="38">
        <f t="shared" si="0"/>
        <v>102.29978433291345</v>
      </c>
    </row>
    <row r="49" spans="1:6" ht="108.75" customHeight="1">
      <c r="A49" s="27" t="s">
        <v>234</v>
      </c>
      <c r="B49" s="42" t="s">
        <v>235</v>
      </c>
      <c r="C49" s="10">
        <f>C50</f>
        <v>652360</v>
      </c>
      <c r="D49" s="10">
        <f>D50</f>
        <v>977054.76</v>
      </c>
      <c r="E49" s="10">
        <f>E50</f>
        <v>999524.63</v>
      </c>
      <c r="F49" s="38">
        <f t="shared" si="0"/>
        <v>102.29975544052412</v>
      </c>
    </row>
    <row r="50" spans="1:6" ht="108" customHeight="1">
      <c r="A50" s="27" t="s">
        <v>236</v>
      </c>
      <c r="B50" s="42" t="s">
        <v>235</v>
      </c>
      <c r="C50" s="10">
        <v>652360</v>
      </c>
      <c r="D50" s="10">
        <f>652360+11.78+67815.61-25000+200000-38304+82171.37+30000+8000</f>
        <v>977054.76</v>
      </c>
      <c r="E50" s="10">
        <v>999524.63</v>
      </c>
      <c r="F50" s="38">
        <f t="shared" si="0"/>
        <v>102.29975544052412</v>
      </c>
    </row>
    <row r="51" spans="1:6" ht="90" customHeight="1">
      <c r="A51" s="27" t="s">
        <v>303</v>
      </c>
      <c r="B51" s="42" t="s">
        <v>304</v>
      </c>
      <c r="C51" s="10">
        <f>C52</f>
        <v>0</v>
      </c>
      <c r="D51" s="10">
        <f>D52</f>
        <v>-11.839999999999998</v>
      </c>
      <c r="E51" s="10">
        <f>E52</f>
        <v>-11.83</v>
      </c>
      <c r="F51" s="38">
        <f t="shared" si="0"/>
        <v>99.91554054054056</v>
      </c>
    </row>
    <row r="52" spans="1:6" ht="88.5" customHeight="1">
      <c r="A52" s="27" t="s">
        <v>305</v>
      </c>
      <c r="B52" s="42" t="s">
        <v>304</v>
      </c>
      <c r="C52" s="10">
        <v>0</v>
      </c>
      <c r="D52" s="10">
        <f>34-0.48-45.35-0.01</f>
        <v>-11.839999999999998</v>
      </c>
      <c r="E52" s="10">
        <v>-11.83</v>
      </c>
      <c r="F52" s="38">
        <f t="shared" si="0"/>
        <v>99.91554054054056</v>
      </c>
    </row>
    <row r="53" spans="1:6" ht="75.75" customHeight="1">
      <c r="A53" s="27" t="s">
        <v>306</v>
      </c>
      <c r="B53" s="42" t="s">
        <v>307</v>
      </c>
      <c r="C53" s="10">
        <f>C54</f>
        <v>0</v>
      </c>
      <c r="D53" s="10">
        <f>D54</f>
        <v>-19.869999999999997</v>
      </c>
      <c r="E53" s="10">
        <f>E54</f>
        <v>43.57</v>
      </c>
      <c r="F53" s="38">
        <f t="shared" si="0"/>
        <v>-219.27528938097635</v>
      </c>
    </row>
    <row r="54" spans="1:6" ht="73.5" customHeight="1">
      <c r="A54" s="27" t="s">
        <v>308</v>
      </c>
      <c r="B54" s="42" t="s">
        <v>307</v>
      </c>
      <c r="C54" s="10">
        <v>0</v>
      </c>
      <c r="D54" s="10">
        <f>2.54+1.19-15.51-0.06-5.45-2.18-0.4</f>
        <v>-19.869999999999997</v>
      </c>
      <c r="E54" s="10">
        <v>43.57</v>
      </c>
      <c r="F54" s="38">
        <f t="shared" si="0"/>
        <v>-219.27528938097635</v>
      </c>
    </row>
    <row r="55" spans="1:6" ht="41.25" customHeight="1">
      <c r="A55" s="27" t="s">
        <v>309</v>
      </c>
      <c r="B55" s="42" t="s">
        <v>310</v>
      </c>
      <c r="C55" s="10">
        <f>C56</f>
        <v>0</v>
      </c>
      <c r="D55" s="10">
        <f>D56+D58</f>
        <v>1113393.5899999999</v>
      </c>
      <c r="E55" s="10">
        <f>E56+E58</f>
        <v>1060404.59</v>
      </c>
      <c r="F55" s="38">
        <f t="shared" si="0"/>
        <v>95.24076656485873</v>
      </c>
    </row>
    <row r="56" spans="1:6" ht="42.75" customHeight="1">
      <c r="A56" s="27" t="s">
        <v>311</v>
      </c>
      <c r="B56" s="42" t="s">
        <v>310</v>
      </c>
      <c r="C56" s="10">
        <f>C57</f>
        <v>0</v>
      </c>
      <c r="D56" s="10">
        <f>D57</f>
        <v>1107075.91</v>
      </c>
      <c r="E56" s="10">
        <f>E57</f>
        <v>1054078.11</v>
      </c>
      <c r="F56" s="38">
        <f t="shared" si="0"/>
        <v>95.21281246197474</v>
      </c>
    </row>
    <row r="57" spans="1:6" ht="40.5" customHeight="1">
      <c r="A57" s="27" t="s">
        <v>312</v>
      </c>
      <c r="B57" s="42" t="s">
        <v>310</v>
      </c>
      <c r="C57" s="10">
        <v>0</v>
      </c>
      <c r="D57" s="10">
        <f>910000+45000+29100+18270.63-30680-50880+257265.3-53000.43-17999.59</f>
        <v>1107075.91</v>
      </c>
      <c r="E57" s="10">
        <v>1054078.11</v>
      </c>
      <c r="F57" s="38">
        <f t="shared" si="0"/>
        <v>95.21281246197474</v>
      </c>
    </row>
    <row r="58" spans="1:6" ht="60" customHeight="1">
      <c r="A58" s="30" t="s">
        <v>402</v>
      </c>
      <c r="B58" s="42" t="s">
        <v>404</v>
      </c>
      <c r="C58" s="10">
        <f>C59</f>
        <v>0</v>
      </c>
      <c r="D58" s="10">
        <f>D59</f>
        <v>6317.68</v>
      </c>
      <c r="E58" s="10">
        <f>E59</f>
        <v>6326.48</v>
      </c>
      <c r="F58" s="38">
        <f t="shared" si="0"/>
        <v>100.13929163870282</v>
      </c>
    </row>
    <row r="59" spans="1:6" ht="60" customHeight="1">
      <c r="A59" s="30" t="s">
        <v>403</v>
      </c>
      <c r="B59" s="42" t="s">
        <v>404</v>
      </c>
      <c r="C59" s="10">
        <v>0</v>
      </c>
      <c r="D59" s="10">
        <f>0.06+72+6245.62</f>
        <v>6317.68</v>
      </c>
      <c r="E59" s="10">
        <v>6326.48</v>
      </c>
      <c r="F59" s="38">
        <f t="shared" si="0"/>
        <v>100.13929163870282</v>
      </c>
    </row>
    <row r="60" spans="1:6" ht="18">
      <c r="A60" s="27" t="s">
        <v>45</v>
      </c>
      <c r="B60" s="42" t="s">
        <v>143</v>
      </c>
      <c r="C60" s="10">
        <f aca="true" t="shared" si="5" ref="C60:E61">C61</f>
        <v>7000</v>
      </c>
      <c r="D60" s="10">
        <f t="shared" si="5"/>
        <v>166990.6</v>
      </c>
      <c r="E60" s="10">
        <f t="shared" si="5"/>
        <v>166990.6</v>
      </c>
      <c r="F60" s="38">
        <f t="shared" si="0"/>
        <v>100</v>
      </c>
    </row>
    <row r="61" spans="1:6" ht="18">
      <c r="A61" s="27" t="s">
        <v>68</v>
      </c>
      <c r="B61" s="42" t="s">
        <v>143</v>
      </c>
      <c r="C61" s="10">
        <f t="shared" si="5"/>
        <v>7000</v>
      </c>
      <c r="D61" s="10">
        <f t="shared" si="5"/>
        <v>166990.6</v>
      </c>
      <c r="E61" s="10">
        <f t="shared" si="5"/>
        <v>166990.6</v>
      </c>
      <c r="F61" s="38">
        <f t="shared" si="0"/>
        <v>100</v>
      </c>
    </row>
    <row r="62" spans="1:6" ht="18">
      <c r="A62" s="27" t="s">
        <v>18</v>
      </c>
      <c r="B62" s="42" t="s">
        <v>143</v>
      </c>
      <c r="C62" s="10">
        <v>7000</v>
      </c>
      <c r="D62" s="10">
        <f>7000+19738.6+1528.25+138723.75</f>
        <v>166990.6</v>
      </c>
      <c r="E62" s="10">
        <v>166990.6</v>
      </c>
      <c r="F62" s="38">
        <f t="shared" si="0"/>
        <v>100</v>
      </c>
    </row>
    <row r="63" spans="1:6" ht="33">
      <c r="A63" s="27" t="s">
        <v>78</v>
      </c>
      <c r="B63" s="45" t="s">
        <v>79</v>
      </c>
      <c r="C63" s="10">
        <f aca="true" t="shared" si="6" ref="C63:E64">C64</f>
        <v>1036157.64</v>
      </c>
      <c r="D63" s="10">
        <f t="shared" si="6"/>
        <v>1044157.6399999997</v>
      </c>
      <c r="E63" s="10">
        <f t="shared" si="6"/>
        <v>1377904.37</v>
      </c>
      <c r="F63" s="38">
        <f t="shared" si="0"/>
        <v>131.9632512577316</v>
      </c>
    </row>
    <row r="64" spans="1:6" ht="66">
      <c r="A64" s="27" t="s">
        <v>81</v>
      </c>
      <c r="B64" s="45" t="s">
        <v>144</v>
      </c>
      <c r="C64" s="10">
        <f t="shared" si="6"/>
        <v>1036157.64</v>
      </c>
      <c r="D64" s="10">
        <f t="shared" si="6"/>
        <v>1044157.6399999997</v>
      </c>
      <c r="E64" s="10">
        <f t="shared" si="6"/>
        <v>1377904.37</v>
      </c>
      <c r="F64" s="38">
        <f t="shared" si="0"/>
        <v>131.9632512577316</v>
      </c>
    </row>
    <row r="65" spans="1:6" ht="66">
      <c r="A65" s="27" t="s">
        <v>82</v>
      </c>
      <c r="B65" s="45" t="s">
        <v>144</v>
      </c>
      <c r="C65" s="10">
        <v>1036157.64</v>
      </c>
      <c r="D65" s="10">
        <f>95000+3990000-1660842.36-1388000+8000-10000+10000</f>
        <v>1044157.6399999997</v>
      </c>
      <c r="E65" s="10">
        <v>1377904.37</v>
      </c>
      <c r="F65" s="38">
        <f t="shared" si="0"/>
        <v>131.9632512577316</v>
      </c>
    </row>
    <row r="66" spans="1:6" ht="27.75" customHeight="1">
      <c r="A66" s="12" t="s">
        <v>440</v>
      </c>
      <c r="B66" s="44" t="s">
        <v>441</v>
      </c>
      <c r="C66" s="18">
        <f>C67</f>
        <v>0</v>
      </c>
      <c r="D66" s="18">
        <f aca="true" t="shared" si="7" ref="D66:E68">D67</f>
        <v>0</v>
      </c>
      <c r="E66" s="18">
        <f t="shared" si="7"/>
        <v>-38.43</v>
      </c>
      <c r="F66" s="18">
        <v>0</v>
      </c>
    </row>
    <row r="67" spans="1:6" ht="28.5" customHeight="1">
      <c r="A67" s="17" t="s">
        <v>442</v>
      </c>
      <c r="B67" s="45" t="s">
        <v>443</v>
      </c>
      <c r="C67" s="10">
        <f>C68</f>
        <v>0</v>
      </c>
      <c r="D67" s="10">
        <f t="shared" si="7"/>
        <v>0</v>
      </c>
      <c r="E67" s="10">
        <f t="shared" si="7"/>
        <v>-38.43</v>
      </c>
      <c r="F67" s="38">
        <v>0</v>
      </c>
    </row>
    <row r="68" spans="1:6" ht="74.25" customHeight="1">
      <c r="A68" s="27" t="s">
        <v>444</v>
      </c>
      <c r="B68" s="45" t="s">
        <v>445</v>
      </c>
      <c r="C68" s="10">
        <f>C69</f>
        <v>0</v>
      </c>
      <c r="D68" s="10">
        <f t="shared" si="7"/>
        <v>0</v>
      </c>
      <c r="E68" s="10">
        <f t="shared" si="7"/>
        <v>-38.43</v>
      </c>
      <c r="F68" s="38">
        <v>0</v>
      </c>
    </row>
    <row r="69" spans="1:6" ht="71.25" customHeight="1">
      <c r="A69" s="33" t="s">
        <v>446</v>
      </c>
      <c r="B69" s="45" t="s">
        <v>445</v>
      </c>
      <c r="C69" s="10">
        <v>0</v>
      </c>
      <c r="D69" s="10">
        <f>78000-40000-30000-8000</f>
        <v>0</v>
      </c>
      <c r="E69" s="10">
        <v>-38.43</v>
      </c>
      <c r="F69" s="38">
        <v>0</v>
      </c>
    </row>
    <row r="70" spans="1:6" ht="60" customHeight="1">
      <c r="A70" s="12" t="s">
        <v>457</v>
      </c>
      <c r="B70" s="44" t="s">
        <v>463</v>
      </c>
      <c r="C70" s="18">
        <f>C71</f>
        <v>78000</v>
      </c>
      <c r="D70" s="18">
        <v>0</v>
      </c>
      <c r="E70" s="18">
        <v>0</v>
      </c>
      <c r="F70" s="18">
        <v>0</v>
      </c>
    </row>
    <row r="71" spans="1:6" ht="31.5" customHeight="1">
      <c r="A71" s="34" t="s">
        <v>458</v>
      </c>
      <c r="B71" s="45" t="s">
        <v>462</v>
      </c>
      <c r="C71" s="10">
        <f>C72</f>
        <v>78000</v>
      </c>
      <c r="D71" s="10">
        <v>0</v>
      </c>
      <c r="E71" s="10">
        <v>0</v>
      </c>
      <c r="F71" s="38">
        <v>0</v>
      </c>
    </row>
    <row r="72" spans="1:6" ht="43.5" customHeight="1">
      <c r="A72" s="34" t="s">
        <v>459</v>
      </c>
      <c r="B72" s="45" t="s">
        <v>461</v>
      </c>
      <c r="C72" s="10">
        <f>C73</f>
        <v>78000</v>
      </c>
      <c r="D72" s="10">
        <v>0</v>
      </c>
      <c r="E72" s="10">
        <v>0</v>
      </c>
      <c r="F72" s="38">
        <v>0</v>
      </c>
    </row>
    <row r="73" spans="1:6" ht="45" customHeight="1">
      <c r="A73" s="34" t="s">
        <v>460</v>
      </c>
      <c r="B73" s="45" t="s">
        <v>461</v>
      </c>
      <c r="C73" s="10">
        <v>78000</v>
      </c>
      <c r="D73" s="10">
        <v>0</v>
      </c>
      <c r="E73" s="10">
        <v>0</v>
      </c>
      <c r="F73" s="38">
        <v>0</v>
      </c>
    </row>
    <row r="74" spans="1:6" ht="18">
      <c r="A74" s="12" t="s">
        <v>19</v>
      </c>
      <c r="B74" s="41" t="s">
        <v>476</v>
      </c>
      <c r="C74" s="18">
        <f>C75+C78</f>
        <v>1210000</v>
      </c>
      <c r="D74" s="18">
        <f>D77+D80</f>
        <v>1704933.79</v>
      </c>
      <c r="E74" s="18">
        <f>E77+E80</f>
        <v>1780305.11</v>
      </c>
      <c r="F74" s="18">
        <f t="shared" si="0"/>
        <v>104.42077694993657</v>
      </c>
    </row>
    <row r="75" spans="1:6" ht="49.5">
      <c r="A75" s="27" t="s">
        <v>60</v>
      </c>
      <c r="B75" s="42" t="s">
        <v>145</v>
      </c>
      <c r="C75" s="10">
        <f aca="true" t="shared" si="8" ref="C75:E76">C76</f>
        <v>1200000</v>
      </c>
      <c r="D75" s="20">
        <f t="shared" si="8"/>
        <v>1694933.79</v>
      </c>
      <c r="E75" s="20">
        <f t="shared" si="8"/>
        <v>1770305.11</v>
      </c>
      <c r="F75" s="38">
        <f t="shared" si="0"/>
        <v>104.44685924870258</v>
      </c>
    </row>
    <row r="76" spans="1:6" ht="72.75" customHeight="1">
      <c r="A76" s="27" t="s">
        <v>61</v>
      </c>
      <c r="B76" s="43" t="s">
        <v>146</v>
      </c>
      <c r="C76" s="10">
        <f t="shared" si="8"/>
        <v>1200000</v>
      </c>
      <c r="D76" s="20">
        <f t="shared" si="8"/>
        <v>1694933.79</v>
      </c>
      <c r="E76" s="20">
        <f t="shared" si="8"/>
        <v>1770305.11</v>
      </c>
      <c r="F76" s="38">
        <f t="shared" si="0"/>
        <v>104.44685924870258</v>
      </c>
    </row>
    <row r="77" spans="1:6" ht="73.5" customHeight="1">
      <c r="A77" s="27" t="s">
        <v>20</v>
      </c>
      <c r="B77" s="43" t="s">
        <v>146</v>
      </c>
      <c r="C77" s="10">
        <v>1200000</v>
      </c>
      <c r="D77" s="20">
        <f>1200000+128657.57+161976.22+74300+130000</f>
        <v>1694933.79</v>
      </c>
      <c r="E77" s="20">
        <v>1770305.11</v>
      </c>
      <c r="F77" s="38">
        <f t="shared" si="0"/>
        <v>104.44685924870258</v>
      </c>
    </row>
    <row r="78" spans="1:6" ht="57" customHeight="1">
      <c r="A78" s="27" t="s">
        <v>21</v>
      </c>
      <c r="B78" s="42" t="s">
        <v>147</v>
      </c>
      <c r="C78" s="10">
        <f aca="true" t="shared" si="9" ref="C78:E79">C79</f>
        <v>10000</v>
      </c>
      <c r="D78" s="14">
        <f t="shared" si="9"/>
        <v>10000</v>
      </c>
      <c r="E78" s="14">
        <f t="shared" si="9"/>
        <v>10000</v>
      </c>
      <c r="F78" s="38">
        <f t="shared" si="0"/>
        <v>100</v>
      </c>
    </row>
    <row r="79" spans="1:6" ht="49.5">
      <c r="A79" s="27" t="s">
        <v>62</v>
      </c>
      <c r="B79" s="43" t="s">
        <v>148</v>
      </c>
      <c r="C79" s="10">
        <f t="shared" si="9"/>
        <v>10000</v>
      </c>
      <c r="D79" s="14">
        <f t="shared" si="9"/>
        <v>10000</v>
      </c>
      <c r="E79" s="14">
        <f t="shared" si="9"/>
        <v>10000</v>
      </c>
      <c r="F79" s="38">
        <f t="shared" si="0"/>
        <v>100</v>
      </c>
    </row>
    <row r="80" spans="1:6" ht="49.5">
      <c r="A80" s="27" t="s">
        <v>77</v>
      </c>
      <c r="B80" s="43" t="s">
        <v>148</v>
      </c>
      <c r="C80" s="10">
        <v>10000</v>
      </c>
      <c r="D80" s="14">
        <f>10000-5000+5000</f>
        <v>10000</v>
      </c>
      <c r="E80" s="15">
        <v>10000</v>
      </c>
      <c r="F80" s="38">
        <f t="shared" si="0"/>
        <v>100</v>
      </c>
    </row>
    <row r="81" spans="1:6" ht="66">
      <c r="A81" s="12" t="s">
        <v>358</v>
      </c>
      <c r="B81" s="46" t="s">
        <v>359</v>
      </c>
      <c r="C81" s="18">
        <v>0</v>
      </c>
      <c r="D81" s="13">
        <f>D89+D86</f>
        <v>504.74</v>
      </c>
      <c r="E81" s="13">
        <f>E89+E86+E82</f>
        <v>-29479.329999999998</v>
      </c>
      <c r="F81" s="18">
        <f aca="true" t="shared" si="10" ref="F81:F144">E81/D81*100</f>
        <v>-5840.498078218488</v>
      </c>
    </row>
    <row r="82" spans="1:6" ht="33">
      <c r="A82" s="33" t="s">
        <v>447</v>
      </c>
      <c r="B82" s="43" t="s">
        <v>448</v>
      </c>
      <c r="C82" s="10">
        <v>0</v>
      </c>
      <c r="D82" s="14">
        <f aca="true" t="shared" si="11" ref="D82:E84">D83</f>
        <v>0</v>
      </c>
      <c r="E82" s="14">
        <f t="shared" si="11"/>
        <v>-29984.07</v>
      </c>
      <c r="F82" s="38">
        <v>0</v>
      </c>
    </row>
    <row r="83" spans="1:6" ht="41.25" customHeight="1">
      <c r="A83" s="33" t="s">
        <v>449</v>
      </c>
      <c r="B83" s="43" t="s">
        <v>450</v>
      </c>
      <c r="C83" s="10">
        <v>0</v>
      </c>
      <c r="D83" s="14">
        <f t="shared" si="11"/>
        <v>0</v>
      </c>
      <c r="E83" s="14">
        <f t="shared" si="11"/>
        <v>-29984.07</v>
      </c>
      <c r="F83" s="38">
        <v>0</v>
      </c>
    </row>
    <row r="84" spans="1:6" ht="58.5" customHeight="1">
      <c r="A84" s="33" t="s">
        <v>451</v>
      </c>
      <c r="B84" s="43" t="s">
        <v>452</v>
      </c>
      <c r="C84" s="10">
        <v>0</v>
      </c>
      <c r="D84" s="14">
        <f t="shared" si="11"/>
        <v>0</v>
      </c>
      <c r="E84" s="14">
        <f t="shared" si="11"/>
        <v>-29984.07</v>
      </c>
      <c r="F84" s="38">
        <v>0</v>
      </c>
    </row>
    <row r="85" spans="1:6" ht="60" customHeight="1">
      <c r="A85" s="33" t="s">
        <v>453</v>
      </c>
      <c r="B85" s="43" t="s">
        <v>452</v>
      </c>
      <c r="C85" s="10">
        <v>0</v>
      </c>
      <c r="D85" s="14">
        <v>0</v>
      </c>
      <c r="E85" s="14">
        <v>-29984.07</v>
      </c>
      <c r="F85" s="38">
        <v>0</v>
      </c>
    </row>
    <row r="86" spans="1:6" ht="57.75" customHeight="1">
      <c r="A86" s="32" t="s">
        <v>420</v>
      </c>
      <c r="B86" s="43" t="s">
        <v>421</v>
      </c>
      <c r="C86" s="10">
        <v>0</v>
      </c>
      <c r="D86" s="14">
        <f>D87</f>
        <v>154.72</v>
      </c>
      <c r="E86" s="14">
        <f>E87</f>
        <v>154.72</v>
      </c>
      <c r="F86" s="38">
        <f t="shared" si="10"/>
        <v>100</v>
      </c>
    </row>
    <row r="87" spans="1:6" ht="25.5" customHeight="1">
      <c r="A87" s="32" t="s">
        <v>422</v>
      </c>
      <c r="B87" s="43" t="s">
        <v>423</v>
      </c>
      <c r="C87" s="10">
        <v>0</v>
      </c>
      <c r="D87" s="14">
        <f>D88</f>
        <v>154.72</v>
      </c>
      <c r="E87" s="14">
        <f>E88</f>
        <v>154.72</v>
      </c>
      <c r="F87" s="38">
        <f t="shared" si="10"/>
        <v>100</v>
      </c>
    </row>
    <row r="88" spans="1:6" ht="23.25" customHeight="1">
      <c r="A88" s="32" t="s">
        <v>424</v>
      </c>
      <c r="B88" s="43" t="s">
        <v>423</v>
      </c>
      <c r="C88" s="10">
        <v>0</v>
      </c>
      <c r="D88" s="14">
        <v>154.72</v>
      </c>
      <c r="E88" s="14">
        <v>154.72</v>
      </c>
      <c r="F88" s="38">
        <f t="shared" si="10"/>
        <v>100</v>
      </c>
    </row>
    <row r="89" spans="1:6" ht="40.5" customHeight="1">
      <c r="A89" s="27" t="s">
        <v>362</v>
      </c>
      <c r="B89" s="43" t="s">
        <v>363</v>
      </c>
      <c r="C89" s="10">
        <v>0</v>
      </c>
      <c r="D89" s="14">
        <f aca="true" t="shared" si="12" ref="D89:E91">D90</f>
        <v>350.02000000000004</v>
      </c>
      <c r="E89" s="14">
        <f t="shared" si="12"/>
        <v>350.02</v>
      </c>
      <c r="F89" s="38">
        <f t="shared" si="10"/>
        <v>99.99999999999999</v>
      </c>
    </row>
    <row r="90" spans="1:6" ht="27" customHeight="1">
      <c r="A90" s="27" t="s">
        <v>364</v>
      </c>
      <c r="B90" s="43" t="s">
        <v>365</v>
      </c>
      <c r="C90" s="10">
        <v>0</v>
      </c>
      <c r="D90" s="14">
        <f t="shared" si="12"/>
        <v>350.02000000000004</v>
      </c>
      <c r="E90" s="14">
        <f t="shared" si="12"/>
        <v>350.02</v>
      </c>
      <c r="F90" s="38">
        <f t="shared" si="10"/>
        <v>99.99999999999999</v>
      </c>
    </row>
    <row r="91" spans="1:6" ht="58.5" customHeight="1">
      <c r="A91" s="27" t="s">
        <v>366</v>
      </c>
      <c r="B91" s="43" t="s">
        <v>367</v>
      </c>
      <c r="C91" s="10">
        <v>0</v>
      </c>
      <c r="D91" s="14">
        <f t="shared" si="12"/>
        <v>350.02000000000004</v>
      </c>
      <c r="E91" s="14">
        <f t="shared" si="12"/>
        <v>350.02</v>
      </c>
      <c r="F91" s="38">
        <f t="shared" si="10"/>
        <v>99.99999999999999</v>
      </c>
    </row>
    <row r="92" spans="1:6" ht="53.25" customHeight="1">
      <c r="A92" s="27" t="s">
        <v>368</v>
      </c>
      <c r="B92" s="43" t="s">
        <v>367</v>
      </c>
      <c r="C92" s="10">
        <v>0</v>
      </c>
      <c r="D92" s="14">
        <f>0.3+349.72</f>
        <v>350.02000000000004</v>
      </c>
      <c r="E92" s="15">
        <v>350.02</v>
      </c>
      <c r="F92" s="38">
        <f t="shared" si="10"/>
        <v>99.99999999999999</v>
      </c>
    </row>
    <row r="93" spans="1:9" ht="66">
      <c r="A93" s="12" t="s">
        <v>22</v>
      </c>
      <c r="B93" s="41" t="s">
        <v>149</v>
      </c>
      <c r="C93" s="18">
        <f>C94+C97+C109</f>
        <v>1376082.25</v>
      </c>
      <c r="D93" s="18">
        <f>D97+D94+D109</f>
        <v>3364625.4900000007</v>
      </c>
      <c r="E93" s="18">
        <f>E97+E94+E109</f>
        <v>4211086.68</v>
      </c>
      <c r="F93" s="18">
        <f t="shared" si="10"/>
        <v>125.15766442701471</v>
      </c>
      <c r="G93" s="7"/>
      <c r="H93" s="7"/>
      <c r="I93" s="7"/>
    </row>
    <row r="94" spans="1:9" ht="42" customHeight="1">
      <c r="A94" s="17" t="s">
        <v>198</v>
      </c>
      <c r="B94" s="42" t="s">
        <v>199</v>
      </c>
      <c r="C94" s="10">
        <f aca="true" t="shared" si="13" ref="C94:E95">C95</f>
        <v>30582.25</v>
      </c>
      <c r="D94" s="10">
        <f t="shared" si="13"/>
        <v>24759.48</v>
      </c>
      <c r="E94" s="10">
        <f t="shared" si="13"/>
        <v>24759.48</v>
      </c>
      <c r="F94" s="38">
        <f t="shared" si="10"/>
        <v>100</v>
      </c>
      <c r="G94" s="7"/>
      <c r="H94" s="7"/>
      <c r="I94" s="7"/>
    </row>
    <row r="95" spans="1:9" ht="57" customHeight="1">
      <c r="A95" s="17" t="s">
        <v>200</v>
      </c>
      <c r="B95" s="42" t="s">
        <v>201</v>
      </c>
      <c r="C95" s="10">
        <f t="shared" si="13"/>
        <v>30582.25</v>
      </c>
      <c r="D95" s="10">
        <f t="shared" si="13"/>
        <v>24759.48</v>
      </c>
      <c r="E95" s="10">
        <f t="shared" si="13"/>
        <v>24759.48</v>
      </c>
      <c r="F95" s="38">
        <f t="shared" si="10"/>
        <v>100</v>
      </c>
      <c r="G95" s="7"/>
      <c r="H95" s="7"/>
      <c r="I95" s="7"/>
    </row>
    <row r="96" spans="1:9" ht="61.5" customHeight="1">
      <c r="A96" s="17" t="s">
        <v>202</v>
      </c>
      <c r="B96" s="42" t="s">
        <v>201</v>
      </c>
      <c r="C96" s="10">
        <v>30582.25</v>
      </c>
      <c r="D96" s="10">
        <f>30582.25-5822.77</f>
        <v>24759.48</v>
      </c>
      <c r="E96" s="10">
        <v>24759.48</v>
      </c>
      <c r="F96" s="38">
        <f t="shared" si="10"/>
        <v>100</v>
      </c>
      <c r="G96" s="7"/>
      <c r="H96" s="7"/>
      <c r="I96" s="7"/>
    </row>
    <row r="97" spans="1:6" ht="140.25" customHeight="1">
      <c r="A97" s="27" t="s">
        <v>23</v>
      </c>
      <c r="B97" s="43" t="s">
        <v>150</v>
      </c>
      <c r="C97" s="10">
        <f>C98+C103+C106</f>
        <v>1345500</v>
      </c>
      <c r="D97" s="20">
        <f>D98+D103+D106</f>
        <v>3286652.6800000006</v>
      </c>
      <c r="E97" s="20">
        <f>E98+E103+E106</f>
        <v>4118113.87</v>
      </c>
      <c r="F97" s="38">
        <f t="shared" si="10"/>
        <v>125.29811546743659</v>
      </c>
    </row>
    <row r="98" spans="1:6" ht="99">
      <c r="A98" s="27" t="s">
        <v>35</v>
      </c>
      <c r="B98" s="43" t="s">
        <v>151</v>
      </c>
      <c r="C98" s="10">
        <f>C99+C101</f>
        <v>1298500</v>
      </c>
      <c r="D98" s="14">
        <f>D101+D99</f>
        <v>2433927.0600000005</v>
      </c>
      <c r="E98" s="14">
        <f>E101+E99</f>
        <v>3232853.46</v>
      </c>
      <c r="F98" s="38">
        <f t="shared" si="10"/>
        <v>132.82458267258016</v>
      </c>
    </row>
    <row r="99" spans="1:6" ht="138" customHeight="1">
      <c r="A99" s="27" t="s">
        <v>84</v>
      </c>
      <c r="B99" s="43" t="s">
        <v>152</v>
      </c>
      <c r="C99" s="10">
        <f>C100</f>
        <v>398500</v>
      </c>
      <c r="D99" s="14">
        <f>D100</f>
        <v>1142709.9400000002</v>
      </c>
      <c r="E99" s="14">
        <f>E100</f>
        <v>1780673.33</v>
      </c>
      <c r="F99" s="38">
        <f t="shared" si="10"/>
        <v>155.82898753816735</v>
      </c>
    </row>
    <row r="100" spans="1:6" ht="141" customHeight="1">
      <c r="A100" s="27" t="s">
        <v>85</v>
      </c>
      <c r="B100" s="43" t="s">
        <v>152</v>
      </c>
      <c r="C100" s="10">
        <v>398500</v>
      </c>
      <c r="D100" s="14">
        <f>398500+80900+77670.04+154643.57+113001.26+147695.07+160300+10000</f>
        <v>1142709.9400000002</v>
      </c>
      <c r="E100" s="14">
        <v>1780673.33</v>
      </c>
      <c r="F100" s="38">
        <f t="shared" si="10"/>
        <v>155.82898753816735</v>
      </c>
    </row>
    <row r="101" spans="1:6" ht="120" customHeight="1">
      <c r="A101" s="27" t="s">
        <v>73</v>
      </c>
      <c r="B101" s="47" t="s">
        <v>153</v>
      </c>
      <c r="C101" s="10">
        <f>C102</f>
        <v>900000</v>
      </c>
      <c r="D101" s="14">
        <f>D102</f>
        <v>1291217.12</v>
      </c>
      <c r="E101" s="14">
        <f>E102</f>
        <v>1452180.13</v>
      </c>
      <c r="F101" s="38">
        <f t="shared" si="10"/>
        <v>112.46599100234977</v>
      </c>
    </row>
    <row r="102" spans="1:6" ht="120" customHeight="1">
      <c r="A102" s="27" t="s">
        <v>74</v>
      </c>
      <c r="B102" s="47" t="s">
        <v>153</v>
      </c>
      <c r="C102" s="10">
        <v>900000</v>
      </c>
      <c r="D102" s="14">
        <f>900000+219737.12+157280+14200</f>
        <v>1291217.12</v>
      </c>
      <c r="E102" s="14">
        <v>1452180.13</v>
      </c>
      <c r="F102" s="38">
        <f t="shared" si="10"/>
        <v>112.46599100234977</v>
      </c>
    </row>
    <row r="103" spans="1:6" ht="132">
      <c r="A103" s="27" t="s">
        <v>52</v>
      </c>
      <c r="B103" s="43" t="s">
        <v>50</v>
      </c>
      <c r="C103" s="10">
        <f aca="true" t="shared" si="14" ref="C103:E104">C104</f>
        <v>30000</v>
      </c>
      <c r="D103" s="14">
        <f t="shared" si="14"/>
        <v>62336.020000000004</v>
      </c>
      <c r="E103" s="14">
        <f t="shared" si="14"/>
        <v>63494.75</v>
      </c>
      <c r="F103" s="38">
        <f t="shared" si="10"/>
        <v>101.85884501448761</v>
      </c>
    </row>
    <row r="104" spans="1:6" ht="115.5">
      <c r="A104" s="27" t="s">
        <v>63</v>
      </c>
      <c r="B104" s="43" t="s">
        <v>51</v>
      </c>
      <c r="C104" s="10">
        <f t="shared" si="14"/>
        <v>30000</v>
      </c>
      <c r="D104" s="14">
        <f t="shared" si="14"/>
        <v>62336.020000000004</v>
      </c>
      <c r="E104" s="14">
        <f t="shared" si="14"/>
        <v>63494.75</v>
      </c>
      <c r="F104" s="38">
        <f t="shared" si="10"/>
        <v>101.85884501448761</v>
      </c>
    </row>
    <row r="105" spans="1:6" ht="115.5">
      <c r="A105" s="27" t="s">
        <v>49</v>
      </c>
      <c r="B105" s="43" t="s">
        <v>51</v>
      </c>
      <c r="C105" s="10">
        <v>30000</v>
      </c>
      <c r="D105" s="14">
        <f>30000+3076.18+6919.84+22340</f>
        <v>62336.020000000004</v>
      </c>
      <c r="E105" s="14">
        <v>63494.75</v>
      </c>
      <c r="F105" s="38">
        <f t="shared" si="10"/>
        <v>101.85884501448761</v>
      </c>
    </row>
    <row r="106" spans="1:6" ht="137.25" customHeight="1">
      <c r="A106" s="27" t="s">
        <v>36</v>
      </c>
      <c r="B106" s="43" t="s">
        <v>243</v>
      </c>
      <c r="C106" s="10">
        <f aca="true" t="shared" si="15" ref="C106:E107">C107</f>
        <v>17000</v>
      </c>
      <c r="D106" s="15">
        <f t="shared" si="15"/>
        <v>790389.6</v>
      </c>
      <c r="E106" s="15">
        <f t="shared" si="15"/>
        <v>821765.66</v>
      </c>
      <c r="F106" s="38">
        <f t="shared" si="10"/>
        <v>103.96969545145838</v>
      </c>
    </row>
    <row r="107" spans="1:6" ht="99">
      <c r="A107" s="27" t="s">
        <v>64</v>
      </c>
      <c r="B107" s="43" t="s">
        <v>154</v>
      </c>
      <c r="C107" s="10">
        <f t="shared" si="15"/>
        <v>17000</v>
      </c>
      <c r="D107" s="15">
        <f t="shared" si="15"/>
        <v>790389.6</v>
      </c>
      <c r="E107" s="15">
        <f t="shared" si="15"/>
        <v>821765.66</v>
      </c>
      <c r="F107" s="38">
        <f t="shared" si="10"/>
        <v>103.96969545145838</v>
      </c>
    </row>
    <row r="108" spans="1:6" ht="99">
      <c r="A108" s="27" t="s">
        <v>24</v>
      </c>
      <c r="B108" s="43" t="s">
        <v>154</v>
      </c>
      <c r="C108" s="10">
        <v>17000</v>
      </c>
      <c r="D108" s="15">
        <f>17000+60000+9000+44942.4+556083.37+35340.83+44520+23503</f>
        <v>790389.6</v>
      </c>
      <c r="E108" s="15">
        <v>821765.66</v>
      </c>
      <c r="F108" s="38">
        <f t="shared" si="10"/>
        <v>103.96969545145838</v>
      </c>
    </row>
    <row r="109" spans="1:6" ht="124.5" customHeight="1">
      <c r="A109" s="30" t="s">
        <v>405</v>
      </c>
      <c r="B109" s="43" t="s">
        <v>411</v>
      </c>
      <c r="C109" s="10">
        <f>C110</f>
        <v>0</v>
      </c>
      <c r="D109" s="15">
        <f aca="true" t="shared" si="16" ref="D109:E111">D110</f>
        <v>53213.33</v>
      </c>
      <c r="E109" s="15">
        <f t="shared" si="16"/>
        <v>68213.33</v>
      </c>
      <c r="F109" s="38">
        <f t="shared" si="10"/>
        <v>128.1884257196458</v>
      </c>
    </row>
    <row r="110" spans="1:6" ht="162" customHeight="1">
      <c r="A110" s="30" t="s">
        <v>406</v>
      </c>
      <c r="B110" s="43" t="s">
        <v>407</v>
      </c>
      <c r="C110" s="10">
        <f>C111</f>
        <v>0</v>
      </c>
      <c r="D110" s="15">
        <f t="shared" si="16"/>
        <v>53213.33</v>
      </c>
      <c r="E110" s="15">
        <f t="shared" si="16"/>
        <v>68213.33</v>
      </c>
      <c r="F110" s="38">
        <f t="shared" si="10"/>
        <v>128.1884257196458</v>
      </c>
    </row>
    <row r="111" spans="1:6" ht="157.5" customHeight="1">
      <c r="A111" s="30" t="s">
        <v>408</v>
      </c>
      <c r="B111" s="43" t="s">
        <v>409</v>
      </c>
      <c r="C111" s="10">
        <f>C112</f>
        <v>0</v>
      </c>
      <c r="D111" s="15">
        <f t="shared" si="16"/>
        <v>53213.33</v>
      </c>
      <c r="E111" s="15">
        <f t="shared" si="16"/>
        <v>68213.33</v>
      </c>
      <c r="F111" s="38">
        <f t="shared" si="10"/>
        <v>128.1884257196458</v>
      </c>
    </row>
    <row r="112" spans="1:6" ht="153.75" customHeight="1">
      <c r="A112" s="30" t="s">
        <v>410</v>
      </c>
      <c r="B112" s="43" t="s">
        <v>409</v>
      </c>
      <c r="C112" s="10">
        <v>0</v>
      </c>
      <c r="D112" s="15">
        <f>50880+2333.33</f>
        <v>53213.33</v>
      </c>
      <c r="E112" s="15">
        <v>68213.33</v>
      </c>
      <c r="F112" s="38">
        <f t="shared" si="10"/>
        <v>128.1884257196458</v>
      </c>
    </row>
    <row r="113" spans="1:6" ht="33">
      <c r="A113" s="12" t="s">
        <v>25</v>
      </c>
      <c r="B113" s="41" t="s">
        <v>46</v>
      </c>
      <c r="C113" s="18">
        <f>C114</f>
        <v>269000</v>
      </c>
      <c r="D113" s="18">
        <f>D114</f>
        <v>109759.45</v>
      </c>
      <c r="E113" s="18">
        <f>E114</f>
        <v>121300.23</v>
      </c>
      <c r="F113" s="18">
        <f t="shared" si="10"/>
        <v>110.51461172591517</v>
      </c>
    </row>
    <row r="114" spans="1:6" ht="33">
      <c r="A114" s="27" t="s">
        <v>37</v>
      </c>
      <c r="B114" s="42" t="s">
        <v>155</v>
      </c>
      <c r="C114" s="10">
        <f>C115+C118</f>
        <v>269000</v>
      </c>
      <c r="D114" s="10">
        <f>D115+D118</f>
        <v>109759.45</v>
      </c>
      <c r="E114" s="10">
        <f>E115+E118</f>
        <v>121300.23</v>
      </c>
      <c r="F114" s="38">
        <f t="shared" si="10"/>
        <v>110.51461172591517</v>
      </c>
    </row>
    <row r="115" spans="1:6" ht="51.75" customHeight="1">
      <c r="A115" s="27" t="s">
        <v>286</v>
      </c>
      <c r="B115" s="42" t="s">
        <v>287</v>
      </c>
      <c r="C115" s="10">
        <f aca="true" t="shared" si="17" ref="C115:E116">C116</f>
        <v>21000</v>
      </c>
      <c r="D115" s="10">
        <f t="shared" si="17"/>
        <v>15962</v>
      </c>
      <c r="E115" s="10">
        <f t="shared" si="17"/>
        <v>15344.11</v>
      </c>
      <c r="F115" s="38">
        <f t="shared" si="10"/>
        <v>96.1289938604185</v>
      </c>
    </row>
    <row r="116" spans="1:6" ht="99.75" customHeight="1">
      <c r="A116" s="27" t="s">
        <v>245</v>
      </c>
      <c r="B116" s="42" t="s">
        <v>244</v>
      </c>
      <c r="C116" s="10">
        <f t="shared" si="17"/>
        <v>21000</v>
      </c>
      <c r="D116" s="10">
        <f t="shared" si="17"/>
        <v>15962</v>
      </c>
      <c r="E116" s="10">
        <f t="shared" si="17"/>
        <v>15344.11</v>
      </c>
      <c r="F116" s="38">
        <f t="shared" si="10"/>
        <v>96.1289938604185</v>
      </c>
    </row>
    <row r="117" spans="1:6" ht="108.75" customHeight="1">
      <c r="A117" s="27" t="s">
        <v>246</v>
      </c>
      <c r="B117" s="42" t="s">
        <v>244</v>
      </c>
      <c r="C117" s="10">
        <v>21000</v>
      </c>
      <c r="D117" s="10">
        <f>21000-4000-538-500</f>
        <v>15962</v>
      </c>
      <c r="E117" s="10">
        <v>15344.11</v>
      </c>
      <c r="F117" s="38">
        <f t="shared" si="10"/>
        <v>96.1289938604185</v>
      </c>
    </row>
    <row r="118" spans="1:6" ht="33">
      <c r="A118" s="27" t="s">
        <v>65</v>
      </c>
      <c r="B118" s="42" t="s">
        <v>26</v>
      </c>
      <c r="C118" s="10">
        <f>C119+C121</f>
        <v>248000</v>
      </c>
      <c r="D118" s="20">
        <f>D119+D121</f>
        <v>93797.45</v>
      </c>
      <c r="E118" s="20">
        <f>E119+E121</f>
        <v>105956.12</v>
      </c>
      <c r="F118" s="38">
        <f t="shared" si="10"/>
        <v>112.96268715194282</v>
      </c>
    </row>
    <row r="119" spans="1:6" ht="88.5" customHeight="1">
      <c r="A119" s="27" t="s">
        <v>248</v>
      </c>
      <c r="B119" s="42" t="s">
        <v>247</v>
      </c>
      <c r="C119" s="10">
        <f>C120</f>
        <v>138000</v>
      </c>
      <c r="D119" s="20">
        <f>D120</f>
        <v>5417.28</v>
      </c>
      <c r="E119" s="20">
        <f>E120</f>
        <v>17575.96</v>
      </c>
      <c r="F119" s="38">
        <f t="shared" si="10"/>
        <v>324.4425246618229</v>
      </c>
    </row>
    <row r="120" spans="1:6" ht="84" customHeight="1">
      <c r="A120" s="27" t="s">
        <v>249</v>
      </c>
      <c r="B120" s="42" t="s">
        <v>247</v>
      </c>
      <c r="C120" s="10">
        <v>138000</v>
      </c>
      <c r="D120" s="20">
        <f>130000+8000-77000-50000-4445.72-637-500</f>
        <v>5417.28</v>
      </c>
      <c r="E120" s="15">
        <v>17575.96</v>
      </c>
      <c r="F120" s="38">
        <f t="shared" si="10"/>
        <v>324.4425246618229</v>
      </c>
    </row>
    <row r="121" spans="1:6" ht="87" customHeight="1">
      <c r="A121" s="27" t="s">
        <v>250</v>
      </c>
      <c r="B121" s="42" t="s">
        <v>252</v>
      </c>
      <c r="C121" s="10">
        <f>C122</f>
        <v>110000</v>
      </c>
      <c r="D121" s="20">
        <f>D122</f>
        <v>88380.17</v>
      </c>
      <c r="E121" s="20">
        <f>E122</f>
        <v>88380.16</v>
      </c>
      <c r="F121" s="38">
        <f t="shared" si="10"/>
        <v>99.99998868524467</v>
      </c>
    </row>
    <row r="122" spans="1:6" ht="91.5" customHeight="1">
      <c r="A122" s="27" t="s">
        <v>251</v>
      </c>
      <c r="B122" s="42" t="s">
        <v>252</v>
      </c>
      <c r="C122" s="10">
        <v>110000</v>
      </c>
      <c r="D122" s="20">
        <f>100000+10000+4000-30065.55+4445.72</f>
        <v>88380.17</v>
      </c>
      <c r="E122" s="15">
        <v>88380.16</v>
      </c>
      <c r="F122" s="38">
        <f t="shared" si="10"/>
        <v>99.99998868524467</v>
      </c>
    </row>
    <row r="123" spans="1:6" ht="49.5">
      <c r="A123" s="12" t="s">
        <v>27</v>
      </c>
      <c r="B123" s="46" t="s">
        <v>156</v>
      </c>
      <c r="C123" s="18">
        <f>C124+C130</f>
        <v>519000</v>
      </c>
      <c r="D123" s="18">
        <f>D124+D130</f>
        <v>982325.96</v>
      </c>
      <c r="E123" s="18">
        <f>E124+E130</f>
        <v>1013353.6399999999</v>
      </c>
      <c r="F123" s="18">
        <f t="shared" si="10"/>
        <v>103.1585931008074</v>
      </c>
    </row>
    <row r="124" spans="1:6" ht="18">
      <c r="A124" s="27" t="s">
        <v>38</v>
      </c>
      <c r="B124" s="43" t="s">
        <v>157</v>
      </c>
      <c r="C124" s="10">
        <f>C125</f>
        <v>509000</v>
      </c>
      <c r="D124" s="10">
        <f aca="true" t="shared" si="18" ref="D124:E126">D125</f>
        <v>259000</v>
      </c>
      <c r="E124" s="10">
        <f t="shared" si="18"/>
        <v>268702.69</v>
      </c>
      <c r="F124" s="38">
        <f t="shared" si="10"/>
        <v>103.74621235521235</v>
      </c>
    </row>
    <row r="125" spans="1:6" ht="33">
      <c r="A125" s="27" t="s">
        <v>39</v>
      </c>
      <c r="B125" s="43" t="s">
        <v>158</v>
      </c>
      <c r="C125" s="10">
        <f>C126</f>
        <v>509000</v>
      </c>
      <c r="D125" s="10">
        <f t="shared" si="18"/>
        <v>259000</v>
      </c>
      <c r="E125" s="10">
        <f t="shared" si="18"/>
        <v>268702.69</v>
      </c>
      <c r="F125" s="38">
        <f t="shared" si="10"/>
        <v>103.74621235521235</v>
      </c>
    </row>
    <row r="126" spans="1:6" ht="49.5">
      <c r="A126" s="27" t="s">
        <v>28</v>
      </c>
      <c r="B126" s="43" t="s">
        <v>159</v>
      </c>
      <c r="C126" s="10">
        <f>C127</f>
        <v>509000</v>
      </c>
      <c r="D126" s="10">
        <f>D127</f>
        <v>259000</v>
      </c>
      <c r="E126" s="10">
        <f t="shared" si="18"/>
        <v>268702.69</v>
      </c>
      <c r="F126" s="38">
        <f t="shared" si="10"/>
        <v>103.74621235521235</v>
      </c>
    </row>
    <row r="127" spans="1:6" ht="75" customHeight="1">
      <c r="A127" s="27" t="s">
        <v>355</v>
      </c>
      <c r="B127" s="43" t="s">
        <v>352</v>
      </c>
      <c r="C127" s="10">
        <f>C128+C129</f>
        <v>509000</v>
      </c>
      <c r="D127" s="10">
        <f>SUM(D128:D129)</f>
        <v>259000</v>
      </c>
      <c r="E127" s="10">
        <f>SUM(E128:E129)</f>
        <v>268702.69</v>
      </c>
      <c r="F127" s="38">
        <f t="shared" si="10"/>
        <v>103.74621235521235</v>
      </c>
    </row>
    <row r="128" spans="1:6" ht="82.5">
      <c r="A128" s="27" t="s">
        <v>351</v>
      </c>
      <c r="B128" s="43" t="s">
        <v>352</v>
      </c>
      <c r="C128" s="10">
        <v>9000</v>
      </c>
      <c r="D128" s="14">
        <v>9000</v>
      </c>
      <c r="E128" s="15">
        <v>9000</v>
      </c>
      <c r="F128" s="38">
        <f t="shared" si="10"/>
        <v>100</v>
      </c>
    </row>
    <row r="129" spans="1:6" ht="82.5">
      <c r="A129" s="27" t="s">
        <v>350</v>
      </c>
      <c r="B129" s="43" t="s">
        <v>352</v>
      </c>
      <c r="C129" s="10">
        <v>500000</v>
      </c>
      <c r="D129" s="14">
        <f>500000-250000</f>
        <v>250000</v>
      </c>
      <c r="E129" s="14">
        <v>259702.69</v>
      </c>
      <c r="F129" s="38">
        <f t="shared" si="10"/>
        <v>103.88107600000001</v>
      </c>
    </row>
    <row r="130" spans="1:6" ht="18">
      <c r="A130" s="27" t="s">
        <v>69</v>
      </c>
      <c r="B130" s="42" t="s">
        <v>160</v>
      </c>
      <c r="C130" s="10">
        <f>C131</f>
        <v>10000</v>
      </c>
      <c r="D130" s="14">
        <f aca="true" t="shared" si="19" ref="D130:E132">D131</f>
        <v>723325.96</v>
      </c>
      <c r="E130" s="14">
        <f t="shared" si="19"/>
        <v>744650.95</v>
      </c>
      <c r="F130" s="38">
        <f t="shared" si="10"/>
        <v>102.9481853520092</v>
      </c>
    </row>
    <row r="131" spans="1:6" ht="33">
      <c r="A131" s="21" t="s">
        <v>70</v>
      </c>
      <c r="B131" s="42" t="s">
        <v>161</v>
      </c>
      <c r="C131" s="10">
        <f>C132</f>
        <v>10000</v>
      </c>
      <c r="D131" s="14">
        <f t="shared" si="19"/>
        <v>723325.96</v>
      </c>
      <c r="E131" s="14">
        <f t="shared" si="19"/>
        <v>744650.95</v>
      </c>
      <c r="F131" s="38">
        <f t="shared" si="10"/>
        <v>102.9481853520092</v>
      </c>
    </row>
    <row r="132" spans="1:6" ht="33">
      <c r="A132" s="21" t="s">
        <v>71</v>
      </c>
      <c r="B132" s="42" t="s">
        <v>80</v>
      </c>
      <c r="C132" s="10">
        <f>C133</f>
        <v>10000</v>
      </c>
      <c r="D132" s="14">
        <f>D133</f>
        <v>723325.96</v>
      </c>
      <c r="E132" s="14">
        <f t="shared" si="19"/>
        <v>744650.95</v>
      </c>
      <c r="F132" s="38">
        <f t="shared" si="10"/>
        <v>102.9481853520092</v>
      </c>
    </row>
    <row r="133" spans="1:6" ht="66">
      <c r="A133" s="21" t="s">
        <v>356</v>
      </c>
      <c r="B133" s="42" t="s">
        <v>354</v>
      </c>
      <c r="C133" s="10">
        <f>SUM(C134:C136)</f>
        <v>10000</v>
      </c>
      <c r="D133" s="14">
        <f>SUM(D134:D136)</f>
        <v>723325.96</v>
      </c>
      <c r="E133" s="14">
        <f>SUM(E134:E136)</f>
        <v>744650.95</v>
      </c>
      <c r="F133" s="38">
        <f t="shared" si="10"/>
        <v>102.9481853520092</v>
      </c>
    </row>
    <row r="134" spans="1:6" ht="66">
      <c r="A134" s="21" t="s">
        <v>360</v>
      </c>
      <c r="B134" s="42" t="s">
        <v>354</v>
      </c>
      <c r="C134" s="10">
        <v>0</v>
      </c>
      <c r="D134" s="14">
        <f>5443.53+23092.02+113076.1+81302.07+39209.22+8516.49+15112.25</f>
        <v>285751.68</v>
      </c>
      <c r="E134" s="14">
        <v>299076.67</v>
      </c>
      <c r="F134" s="38">
        <f t="shared" si="10"/>
        <v>104.66313618873562</v>
      </c>
    </row>
    <row r="135" spans="1:6" ht="66">
      <c r="A135" s="21" t="s">
        <v>353</v>
      </c>
      <c r="B135" s="42" t="s">
        <v>354</v>
      </c>
      <c r="C135" s="10">
        <v>10000</v>
      </c>
      <c r="D135" s="14">
        <f>3950+33774.08</f>
        <v>37724.08</v>
      </c>
      <c r="E135" s="14">
        <v>45724.08</v>
      </c>
      <c r="F135" s="38">
        <f t="shared" si="10"/>
        <v>121.20661391874899</v>
      </c>
    </row>
    <row r="136" spans="1:6" ht="66">
      <c r="A136" s="21" t="s">
        <v>394</v>
      </c>
      <c r="B136" s="42" t="s">
        <v>354</v>
      </c>
      <c r="C136" s="10">
        <v>0</v>
      </c>
      <c r="D136" s="14">
        <f>399850.2+33774.08-33774.08</f>
        <v>399850.2</v>
      </c>
      <c r="E136" s="14">
        <v>399850.2</v>
      </c>
      <c r="F136" s="38">
        <f t="shared" si="10"/>
        <v>100</v>
      </c>
    </row>
    <row r="137" spans="1:6" ht="49.5">
      <c r="A137" s="12" t="s">
        <v>29</v>
      </c>
      <c r="B137" s="41" t="s">
        <v>162</v>
      </c>
      <c r="C137" s="18">
        <f>C138+C142</f>
        <v>270000</v>
      </c>
      <c r="D137" s="18">
        <f>D138+D142</f>
        <v>729267.12</v>
      </c>
      <c r="E137" s="18">
        <f>E138+E142</f>
        <v>935627.1400000001</v>
      </c>
      <c r="F137" s="18">
        <f t="shared" si="10"/>
        <v>128.29690443194534</v>
      </c>
    </row>
    <row r="138" spans="1:6" ht="132">
      <c r="A138" s="27" t="s">
        <v>30</v>
      </c>
      <c r="B138" s="43" t="s">
        <v>163</v>
      </c>
      <c r="C138" s="10">
        <f>C139</f>
        <v>200000</v>
      </c>
      <c r="D138" s="14">
        <f aca="true" t="shared" si="20" ref="D138:E140">D139</f>
        <v>36366.67</v>
      </c>
      <c r="E138" s="14">
        <f t="shared" si="20"/>
        <v>242726.67</v>
      </c>
      <c r="F138" s="38">
        <f t="shared" si="10"/>
        <v>667.4426610959981</v>
      </c>
    </row>
    <row r="139" spans="1:6" ht="148.5">
      <c r="A139" s="27" t="s">
        <v>66</v>
      </c>
      <c r="B139" s="43" t="s">
        <v>164</v>
      </c>
      <c r="C139" s="10">
        <f>C140</f>
        <v>200000</v>
      </c>
      <c r="D139" s="14">
        <f t="shared" si="20"/>
        <v>36366.67</v>
      </c>
      <c r="E139" s="14">
        <f t="shared" si="20"/>
        <v>242726.67</v>
      </c>
      <c r="F139" s="38">
        <f t="shared" si="10"/>
        <v>667.4426610959981</v>
      </c>
    </row>
    <row r="140" spans="1:6" ht="132">
      <c r="A140" s="27" t="s">
        <v>67</v>
      </c>
      <c r="B140" s="43" t="s">
        <v>165</v>
      </c>
      <c r="C140" s="10">
        <f>C141</f>
        <v>200000</v>
      </c>
      <c r="D140" s="14">
        <f t="shared" si="20"/>
        <v>36366.67</v>
      </c>
      <c r="E140" s="14">
        <f t="shared" si="20"/>
        <v>242726.67</v>
      </c>
      <c r="F140" s="38">
        <f t="shared" si="10"/>
        <v>667.4426610959981</v>
      </c>
    </row>
    <row r="141" spans="1:6" ht="132">
      <c r="A141" s="27" t="s">
        <v>31</v>
      </c>
      <c r="B141" s="43" t="s">
        <v>165</v>
      </c>
      <c r="C141" s="10">
        <v>200000</v>
      </c>
      <c r="D141" s="14">
        <f>200000-6969.85-104884.76-5370.03-56764.3+1638.94+8716.67</f>
        <v>36366.67</v>
      </c>
      <c r="E141" s="14">
        <v>242726.67</v>
      </c>
      <c r="F141" s="38">
        <f t="shared" si="10"/>
        <v>667.4426610959981</v>
      </c>
    </row>
    <row r="142" spans="1:6" ht="49.5">
      <c r="A142" s="27" t="s">
        <v>32</v>
      </c>
      <c r="B142" s="42" t="s">
        <v>166</v>
      </c>
      <c r="C142" s="10">
        <f>C143</f>
        <v>70000</v>
      </c>
      <c r="D142" s="20">
        <f>D143</f>
        <v>692900.45</v>
      </c>
      <c r="E142" s="20">
        <f>E143</f>
        <v>692900.4700000001</v>
      </c>
      <c r="F142" s="38">
        <f t="shared" si="10"/>
        <v>100.00000288641755</v>
      </c>
    </row>
    <row r="143" spans="1:6" ht="49.5">
      <c r="A143" s="27" t="s">
        <v>40</v>
      </c>
      <c r="B143" s="45" t="s">
        <v>88</v>
      </c>
      <c r="C143" s="10">
        <f>C144+C146</f>
        <v>70000</v>
      </c>
      <c r="D143" s="20">
        <f>D146+D144</f>
        <v>692900.45</v>
      </c>
      <c r="E143" s="20">
        <f>E146+E144</f>
        <v>692900.4700000001</v>
      </c>
      <c r="F143" s="38">
        <f t="shared" si="10"/>
        <v>100.00000288641755</v>
      </c>
    </row>
    <row r="144" spans="1:6" ht="99">
      <c r="A144" s="27" t="s">
        <v>86</v>
      </c>
      <c r="B144" s="42" t="s">
        <v>167</v>
      </c>
      <c r="C144" s="10">
        <f>C145</f>
        <v>30000</v>
      </c>
      <c r="D144" s="20">
        <f>D145</f>
        <v>118681.29999999999</v>
      </c>
      <c r="E144" s="20">
        <f>E145</f>
        <v>118681.3</v>
      </c>
      <c r="F144" s="38">
        <f t="shared" si="10"/>
        <v>100.00000000000003</v>
      </c>
    </row>
    <row r="145" spans="1:6" ht="99">
      <c r="A145" s="27" t="s">
        <v>87</v>
      </c>
      <c r="B145" s="42" t="s">
        <v>167</v>
      </c>
      <c r="C145" s="10">
        <v>30000</v>
      </c>
      <c r="D145" s="20">
        <f>30000+56764.3+15697.04+2531.54+13688.42</f>
        <v>118681.29999999999</v>
      </c>
      <c r="E145" s="20">
        <v>118681.3</v>
      </c>
      <c r="F145" s="38">
        <f aca="true" t="shared" si="21" ref="F145:F208">E145/D145*100</f>
        <v>100.00000000000003</v>
      </c>
    </row>
    <row r="146" spans="1:6" ht="66">
      <c r="A146" s="27" t="s">
        <v>76</v>
      </c>
      <c r="B146" s="45" t="s">
        <v>168</v>
      </c>
      <c r="C146" s="10">
        <f>C147</f>
        <v>40000</v>
      </c>
      <c r="D146" s="20">
        <f>D147</f>
        <v>574219.15</v>
      </c>
      <c r="E146" s="20">
        <f>E147</f>
        <v>574219.17</v>
      </c>
      <c r="F146" s="38">
        <f t="shared" si="21"/>
        <v>100.00000348299079</v>
      </c>
    </row>
    <row r="147" spans="1:6" ht="66">
      <c r="A147" s="27" t="s">
        <v>75</v>
      </c>
      <c r="B147" s="45" t="s">
        <v>168</v>
      </c>
      <c r="C147" s="10">
        <v>40000</v>
      </c>
      <c r="D147" s="20">
        <f>40000+38611.68+6969.85+5370.03+181235.86+38304+138004.49+125723.24</f>
        <v>574219.15</v>
      </c>
      <c r="E147" s="15">
        <v>574219.17</v>
      </c>
      <c r="F147" s="38">
        <f t="shared" si="21"/>
        <v>100.00000348299079</v>
      </c>
    </row>
    <row r="148" spans="1:6" ht="33">
      <c r="A148" s="12" t="s">
        <v>33</v>
      </c>
      <c r="B148" s="41" t="s">
        <v>169</v>
      </c>
      <c r="C148" s="18">
        <f>C149+C185+C194+C203</f>
        <v>176400</v>
      </c>
      <c r="D148" s="18">
        <f>D149+D185+D194+D203</f>
        <v>450560.56000000006</v>
      </c>
      <c r="E148" s="18">
        <f>E149+E185+E194+E203</f>
        <v>454400.89</v>
      </c>
      <c r="F148" s="18">
        <f t="shared" si="21"/>
        <v>100.85234491008266</v>
      </c>
    </row>
    <row r="149" spans="1:6" ht="49.5">
      <c r="A149" s="27" t="s">
        <v>127</v>
      </c>
      <c r="B149" s="42" t="s">
        <v>170</v>
      </c>
      <c r="C149" s="10">
        <f>C150+C154+C157+C160+C162+C166+C169+C172+C175+C178+C181</f>
        <v>29400</v>
      </c>
      <c r="D149" s="10">
        <f>D178+D181+D150+D154+D169+D175+D157+D166+D162+D172</f>
        <v>249311.37000000002</v>
      </c>
      <c r="E149" s="10">
        <f>E178+E181+E150+E154+E169+E175+E157+E166+E162+E172</f>
        <v>251929.92</v>
      </c>
      <c r="F149" s="38">
        <f t="shared" si="21"/>
        <v>101.05031310846353</v>
      </c>
    </row>
    <row r="150" spans="1:6" ht="96" customHeight="1">
      <c r="A150" s="27" t="s">
        <v>313</v>
      </c>
      <c r="B150" s="42" t="s">
        <v>314</v>
      </c>
      <c r="C150" s="10">
        <v>0</v>
      </c>
      <c r="D150" s="10">
        <f>D151</f>
        <v>89492.47</v>
      </c>
      <c r="E150" s="10">
        <f>E151</f>
        <v>90137.49</v>
      </c>
      <c r="F150" s="38">
        <f t="shared" si="21"/>
        <v>100.7207533773512</v>
      </c>
    </row>
    <row r="151" spans="1:6" ht="124.5" customHeight="1">
      <c r="A151" s="27" t="s">
        <v>316</v>
      </c>
      <c r="B151" s="42" t="s">
        <v>315</v>
      </c>
      <c r="C151" s="10">
        <v>0</v>
      </c>
      <c r="D151" s="10">
        <f>SUM(D152:D153)</f>
        <v>89492.47</v>
      </c>
      <c r="E151" s="10">
        <f>SUM(E152:E153)</f>
        <v>90137.49</v>
      </c>
      <c r="F151" s="38">
        <f t="shared" si="21"/>
        <v>100.7207533773512</v>
      </c>
    </row>
    <row r="152" spans="1:6" ht="132">
      <c r="A152" s="27" t="s">
        <v>317</v>
      </c>
      <c r="B152" s="42" t="s">
        <v>315</v>
      </c>
      <c r="C152" s="10">
        <v>0</v>
      </c>
      <c r="D152" s="10">
        <f>1500+688.09+3111.19+12759.44+978.71+2802.17+5352.19+3800.68</f>
        <v>30992.469999999998</v>
      </c>
      <c r="E152" s="10">
        <v>31637.49</v>
      </c>
      <c r="F152" s="38">
        <f t="shared" si="21"/>
        <v>102.08121521130779</v>
      </c>
    </row>
    <row r="153" spans="1:6" ht="132">
      <c r="A153" s="27" t="s">
        <v>318</v>
      </c>
      <c r="B153" s="42" t="s">
        <v>315</v>
      </c>
      <c r="C153" s="10">
        <v>0</v>
      </c>
      <c r="D153" s="10">
        <f>46000+10000+2500</f>
        <v>58500</v>
      </c>
      <c r="E153" s="10">
        <v>58500</v>
      </c>
      <c r="F153" s="38">
        <f t="shared" si="21"/>
        <v>100</v>
      </c>
    </row>
    <row r="154" spans="1:6" ht="126" customHeight="1">
      <c r="A154" s="27" t="s">
        <v>319</v>
      </c>
      <c r="B154" s="42" t="s">
        <v>320</v>
      </c>
      <c r="C154" s="10">
        <v>0</v>
      </c>
      <c r="D154" s="10">
        <f>D155</f>
        <v>750</v>
      </c>
      <c r="E154" s="10">
        <f>E155</f>
        <v>750</v>
      </c>
      <c r="F154" s="38">
        <f t="shared" si="21"/>
        <v>100</v>
      </c>
    </row>
    <row r="155" spans="1:6" ht="154.5" customHeight="1">
      <c r="A155" s="27" t="s">
        <v>321</v>
      </c>
      <c r="B155" s="42" t="s">
        <v>322</v>
      </c>
      <c r="C155" s="10">
        <v>0</v>
      </c>
      <c r="D155" s="10">
        <f>D156</f>
        <v>750</v>
      </c>
      <c r="E155" s="10">
        <f>E156</f>
        <v>750</v>
      </c>
      <c r="F155" s="38">
        <f t="shared" si="21"/>
        <v>100</v>
      </c>
    </row>
    <row r="156" spans="1:6" ht="154.5" customHeight="1">
      <c r="A156" s="27" t="s">
        <v>323</v>
      </c>
      <c r="B156" s="42" t="s">
        <v>322</v>
      </c>
      <c r="C156" s="10">
        <v>0</v>
      </c>
      <c r="D156" s="10">
        <v>750</v>
      </c>
      <c r="E156" s="10">
        <v>750</v>
      </c>
      <c r="F156" s="38">
        <f t="shared" si="21"/>
        <v>100</v>
      </c>
    </row>
    <row r="157" spans="1:6" ht="92.25" customHeight="1">
      <c r="A157" s="28" t="s">
        <v>369</v>
      </c>
      <c r="B157" s="42" t="s">
        <v>370</v>
      </c>
      <c r="C157" s="10">
        <v>0</v>
      </c>
      <c r="D157" s="10">
        <f>D158+D160</f>
        <v>1450.2</v>
      </c>
      <c r="E157" s="10">
        <f>E158+E160</f>
        <v>1450.2</v>
      </c>
      <c r="F157" s="38">
        <f t="shared" si="21"/>
        <v>100</v>
      </c>
    </row>
    <row r="158" spans="1:6" ht="123" customHeight="1">
      <c r="A158" s="28" t="s">
        <v>371</v>
      </c>
      <c r="B158" s="42" t="s">
        <v>372</v>
      </c>
      <c r="C158" s="10">
        <v>0</v>
      </c>
      <c r="D158" s="10">
        <f>D159</f>
        <v>450.2</v>
      </c>
      <c r="E158" s="10">
        <f>E159</f>
        <v>450.2</v>
      </c>
      <c r="F158" s="38">
        <f t="shared" si="21"/>
        <v>100</v>
      </c>
    </row>
    <row r="159" spans="1:6" ht="116.25" customHeight="1">
      <c r="A159" s="28" t="s">
        <v>373</v>
      </c>
      <c r="B159" s="42" t="s">
        <v>372</v>
      </c>
      <c r="C159" s="10">
        <v>0</v>
      </c>
      <c r="D159" s="10">
        <f>450+0.2</f>
        <v>450.2</v>
      </c>
      <c r="E159" s="10">
        <v>450.2</v>
      </c>
      <c r="F159" s="38">
        <f t="shared" si="21"/>
        <v>100</v>
      </c>
    </row>
    <row r="160" spans="1:6" ht="122.25" customHeight="1">
      <c r="A160" s="28" t="s">
        <v>374</v>
      </c>
      <c r="B160" s="42" t="s">
        <v>375</v>
      </c>
      <c r="C160" s="10">
        <v>0</v>
      </c>
      <c r="D160" s="10">
        <f>D161</f>
        <v>1000</v>
      </c>
      <c r="E160" s="10">
        <f>E161</f>
        <v>1000</v>
      </c>
      <c r="F160" s="38">
        <f t="shared" si="21"/>
        <v>100</v>
      </c>
    </row>
    <row r="161" spans="1:6" ht="123" customHeight="1">
      <c r="A161" s="28" t="s">
        <v>376</v>
      </c>
      <c r="B161" s="42" t="s">
        <v>375</v>
      </c>
      <c r="C161" s="10">
        <v>0</v>
      </c>
      <c r="D161" s="10">
        <v>1000</v>
      </c>
      <c r="E161" s="10">
        <v>1000</v>
      </c>
      <c r="F161" s="38">
        <f t="shared" si="21"/>
        <v>100</v>
      </c>
    </row>
    <row r="162" spans="1:6" ht="101.25" customHeight="1">
      <c r="A162" s="29" t="s">
        <v>395</v>
      </c>
      <c r="B162" s="42" t="s">
        <v>398</v>
      </c>
      <c r="C162" s="10">
        <v>0</v>
      </c>
      <c r="D162" s="10">
        <f>D163</f>
        <v>2750</v>
      </c>
      <c r="E162" s="10">
        <f>E163</f>
        <v>2750</v>
      </c>
      <c r="F162" s="38">
        <f t="shared" si="21"/>
        <v>100</v>
      </c>
    </row>
    <row r="163" spans="1:6" ht="140.25" customHeight="1">
      <c r="A163" s="29" t="s">
        <v>396</v>
      </c>
      <c r="B163" s="42" t="s">
        <v>399</v>
      </c>
      <c r="C163" s="10">
        <v>0</v>
      </c>
      <c r="D163" s="10">
        <f>SUM(D164:D165)</f>
        <v>2750</v>
      </c>
      <c r="E163" s="10">
        <f>SUM(E164:E165)</f>
        <v>2750</v>
      </c>
      <c r="F163" s="38">
        <f t="shared" si="21"/>
        <v>100</v>
      </c>
    </row>
    <row r="164" spans="1:6" ht="141" customHeight="1">
      <c r="A164" s="29" t="s">
        <v>397</v>
      </c>
      <c r="B164" s="42" t="s">
        <v>399</v>
      </c>
      <c r="C164" s="10">
        <v>0</v>
      </c>
      <c r="D164" s="10">
        <f>250</f>
        <v>250</v>
      </c>
      <c r="E164" s="10">
        <v>250</v>
      </c>
      <c r="F164" s="38">
        <f t="shared" si="21"/>
        <v>100</v>
      </c>
    </row>
    <row r="165" spans="1:6" ht="139.5" customHeight="1">
      <c r="A165" s="30" t="s">
        <v>412</v>
      </c>
      <c r="B165" s="42" t="s">
        <v>399</v>
      </c>
      <c r="C165" s="10">
        <v>0</v>
      </c>
      <c r="D165" s="10">
        <f>25250-20000-4000+250+1000</f>
        <v>2500</v>
      </c>
      <c r="E165" s="10">
        <v>2500</v>
      </c>
      <c r="F165" s="38">
        <f t="shared" si="21"/>
        <v>100</v>
      </c>
    </row>
    <row r="166" spans="1:6" ht="87.75" customHeight="1">
      <c r="A166" s="28" t="s">
        <v>377</v>
      </c>
      <c r="B166" s="42" t="s">
        <v>378</v>
      </c>
      <c r="C166" s="10">
        <v>0</v>
      </c>
      <c r="D166" s="10">
        <f>D167</f>
        <v>5150</v>
      </c>
      <c r="E166" s="10">
        <f>E167</f>
        <v>5150</v>
      </c>
      <c r="F166" s="38">
        <f t="shared" si="21"/>
        <v>100</v>
      </c>
    </row>
    <row r="167" spans="1:6" ht="141" customHeight="1">
      <c r="A167" s="28" t="s">
        <v>379</v>
      </c>
      <c r="B167" s="42" t="s">
        <v>380</v>
      </c>
      <c r="C167" s="10">
        <v>0</v>
      </c>
      <c r="D167" s="10">
        <f>D168</f>
        <v>5150</v>
      </c>
      <c r="E167" s="10">
        <f>E168</f>
        <v>5150</v>
      </c>
      <c r="F167" s="38">
        <f t="shared" si="21"/>
        <v>100</v>
      </c>
    </row>
    <row r="168" spans="1:6" ht="137.25" customHeight="1">
      <c r="A168" s="28" t="s">
        <v>381</v>
      </c>
      <c r="B168" s="42" t="s">
        <v>380</v>
      </c>
      <c r="C168" s="10">
        <v>0</v>
      </c>
      <c r="D168" s="10">
        <f>1000+3000+1150</f>
        <v>5150</v>
      </c>
      <c r="E168" s="10">
        <v>5150</v>
      </c>
      <c r="F168" s="38">
        <f t="shared" si="21"/>
        <v>100</v>
      </c>
    </row>
    <row r="169" spans="1:6" ht="85.5" customHeight="1">
      <c r="A169" s="27" t="s">
        <v>324</v>
      </c>
      <c r="B169" s="42" t="s">
        <v>325</v>
      </c>
      <c r="C169" s="10">
        <v>0</v>
      </c>
      <c r="D169" s="10">
        <f>D170</f>
        <v>3000</v>
      </c>
      <c r="E169" s="10">
        <f>E170</f>
        <v>3000</v>
      </c>
      <c r="F169" s="38">
        <f t="shared" si="21"/>
        <v>100</v>
      </c>
    </row>
    <row r="170" spans="1:6" ht="132">
      <c r="A170" s="27" t="s">
        <v>326</v>
      </c>
      <c r="B170" s="42" t="s">
        <v>327</v>
      </c>
      <c r="C170" s="10">
        <v>0</v>
      </c>
      <c r="D170" s="10">
        <f>D171</f>
        <v>3000</v>
      </c>
      <c r="E170" s="10">
        <f>E171</f>
        <v>3000</v>
      </c>
      <c r="F170" s="38">
        <f t="shared" si="21"/>
        <v>100</v>
      </c>
    </row>
    <row r="171" spans="1:6" ht="125.25" customHeight="1">
      <c r="A171" s="27" t="s">
        <v>328</v>
      </c>
      <c r="B171" s="42" t="s">
        <v>327</v>
      </c>
      <c r="C171" s="10">
        <v>0</v>
      </c>
      <c r="D171" s="10">
        <f>1500+1500</f>
        <v>3000</v>
      </c>
      <c r="E171" s="10">
        <v>3000</v>
      </c>
      <c r="F171" s="38">
        <f t="shared" si="21"/>
        <v>100</v>
      </c>
    </row>
    <row r="172" spans="1:6" ht="107.25" customHeight="1">
      <c r="A172" s="27" t="s">
        <v>266</v>
      </c>
      <c r="B172" s="48" t="s">
        <v>269</v>
      </c>
      <c r="C172" s="10">
        <f aca="true" t="shared" si="22" ref="C172:E173">C173</f>
        <v>10000</v>
      </c>
      <c r="D172" s="10">
        <f t="shared" si="22"/>
        <v>1300</v>
      </c>
      <c r="E172" s="10">
        <f t="shared" si="22"/>
        <v>1200</v>
      </c>
      <c r="F172" s="38">
        <f t="shared" si="21"/>
        <v>92.3076923076923</v>
      </c>
    </row>
    <row r="173" spans="1:6" ht="192" customHeight="1">
      <c r="A173" s="27" t="s">
        <v>267</v>
      </c>
      <c r="B173" s="48" t="s">
        <v>270</v>
      </c>
      <c r="C173" s="10">
        <f t="shared" si="22"/>
        <v>10000</v>
      </c>
      <c r="D173" s="10">
        <f t="shared" si="22"/>
        <v>1300</v>
      </c>
      <c r="E173" s="10">
        <f t="shared" si="22"/>
        <v>1200</v>
      </c>
      <c r="F173" s="38">
        <f t="shared" si="21"/>
        <v>92.3076923076923</v>
      </c>
    </row>
    <row r="174" spans="1:6" ht="181.5">
      <c r="A174" s="27" t="s">
        <v>268</v>
      </c>
      <c r="B174" s="48" t="s">
        <v>271</v>
      </c>
      <c r="C174" s="10">
        <v>10000</v>
      </c>
      <c r="D174" s="10">
        <f>10000-5000-2000-1200-150-250-100</f>
        <v>1300</v>
      </c>
      <c r="E174" s="10">
        <v>1200</v>
      </c>
      <c r="F174" s="38">
        <f t="shared" si="21"/>
        <v>92.3076923076923</v>
      </c>
    </row>
    <row r="175" spans="1:6" ht="115.5">
      <c r="A175" s="27" t="s">
        <v>329</v>
      </c>
      <c r="B175" s="48" t="s">
        <v>330</v>
      </c>
      <c r="C175" s="10">
        <v>0</v>
      </c>
      <c r="D175" s="10">
        <f>D176</f>
        <v>3275</v>
      </c>
      <c r="E175" s="10">
        <f>E176</f>
        <v>3275.53</v>
      </c>
      <c r="F175" s="38">
        <f t="shared" si="21"/>
        <v>100.01618320610687</v>
      </c>
    </row>
    <row r="176" spans="1:6" ht="148.5">
      <c r="A176" s="27" t="s">
        <v>331</v>
      </c>
      <c r="B176" s="48" t="s">
        <v>332</v>
      </c>
      <c r="C176" s="10">
        <v>0</v>
      </c>
      <c r="D176" s="10">
        <f>D177</f>
        <v>3275</v>
      </c>
      <c r="E176" s="10">
        <f>E177</f>
        <v>3275.53</v>
      </c>
      <c r="F176" s="38">
        <f t="shared" si="21"/>
        <v>100.01618320610687</v>
      </c>
    </row>
    <row r="177" spans="1:6" ht="148.5">
      <c r="A177" s="27" t="s">
        <v>333</v>
      </c>
      <c r="B177" s="48" t="s">
        <v>332</v>
      </c>
      <c r="C177" s="10">
        <v>0</v>
      </c>
      <c r="D177" s="10">
        <f>700+125+850+750+300+400+150</f>
        <v>3275</v>
      </c>
      <c r="E177" s="10">
        <v>3275.53</v>
      </c>
      <c r="F177" s="38">
        <f t="shared" si="21"/>
        <v>100.01618320610687</v>
      </c>
    </row>
    <row r="178" spans="1:6" ht="99">
      <c r="A178" s="27" t="s">
        <v>272</v>
      </c>
      <c r="B178" s="48" t="s">
        <v>273</v>
      </c>
      <c r="C178" s="10">
        <f aca="true" t="shared" si="23" ref="C178:E179">C179</f>
        <v>5000</v>
      </c>
      <c r="D178" s="10">
        <f t="shared" si="23"/>
        <v>73532.42</v>
      </c>
      <c r="E178" s="10">
        <f t="shared" si="23"/>
        <v>74555.41</v>
      </c>
      <c r="F178" s="38">
        <f t="shared" si="21"/>
        <v>101.39120948283764</v>
      </c>
    </row>
    <row r="179" spans="1:6" ht="132">
      <c r="A179" s="27" t="s">
        <v>126</v>
      </c>
      <c r="B179" s="48" t="s">
        <v>274</v>
      </c>
      <c r="C179" s="10">
        <f t="shared" si="23"/>
        <v>5000</v>
      </c>
      <c r="D179" s="10">
        <f t="shared" si="23"/>
        <v>73532.42</v>
      </c>
      <c r="E179" s="10">
        <f t="shared" si="23"/>
        <v>74555.41</v>
      </c>
      <c r="F179" s="38">
        <f t="shared" si="21"/>
        <v>101.39120948283764</v>
      </c>
    </row>
    <row r="180" spans="1:6" ht="115.5">
      <c r="A180" s="27" t="s">
        <v>253</v>
      </c>
      <c r="B180" s="48" t="s">
        <v>220</v>
      </c>
      <c r="C180" s="10">
        <v>5000</v>
      </c>
      <c r="D180" s="10">
        <f>5000+8000+2200+451.48+3527.73+24985.19+25516.45+3851.57</f>
        <v>73532.42</v>
      </c>
      <c r="E180" s="10">
        <v>74555.41</v>
      </c>
      <c r="F180" s="38">
        <f t="shared" si="21"/>
        <v>101.39120948283764</v>
      </c>
    </row>
    <row r="181" spans="1:6" ht="112.5" customHeight="1">
      <c r="A181" s="27" t="s">
        <v>261</v>
      </c>
      <c r="B181" s="48" t="s">
        <v>264</v>
      </c>
      <c r="C181" s="10">
        <f>C182</f>
        <v>14400</v>
      </c>
      <c r="D181" s="10">
        <f>D182</f>
        <v>68611.28</v>
      </c>
      <c r="E181" s="10">
        <f>E182</f>
        <v>69661.29000000001</v>
      </c>
      <c r="F181" s="38">
        <f t="shared" si="21"/>
        <v>101.53037518029106</v>
      </c>
    </row>
    <row r="182" spans="1:6" ht="148.5">
      <c r="A182" s="27" t="s">
        <v>262</v>
      </c>
      <c r="B182" s="48" t="s">
        <v>265</v>
      </c>
      <c r="C182" s="10">
        <f>C183</f>
        <v>14400</v>
      </c>
      <c r="D182" s="10">
        <f>D183+D184</f>
        <v>68611.28</v>
      </c>
      <c r="E182" s="10">
        <f>E183+E184</f>
        <v>69661.29000000001</v>
      </c>
      <c r="F182" s="38">
        <f t="shared" si="21"/>
        <v>101.53037518029106</v>
      </c>
    </row>
    <row r="183" spans="1:6" ht="138.75" customHeight="1">
      <c r="A183" s="27" t="s">
        <v>263</v>
      </c>
      <c r="B183" s="48" t="s">
        <v>265</v>
      </c>
      <c r="C183" s="10">
        <v>14400</v>
      </c>
      <c r="D183" s="10">
        <f>14400-6000-2200-1000</f>
        <v>5200</v>
      </c>
      <c r="E183" s="10">
        <v>4750</v>
      </c>
      <c r="F183" s="38">
        <f t="shared" si="21"/>
        <v>91.34615384615384</v>
      </c>
    </row>
    <row r="184" spans="1:6" ht="148.5">
      <c r="A184" s="27" t="s">
        <v>334</v>
      </c>
      <c r="B184" s="48" t="s">
        <v>265</v>
      </c>
      <c r="C184" s="10">
        <v>0</v>
      </c>
      <c r="D184" s="10">
        <f>12000+2900+1186.91+13335.46+29422.37+974.42+3592.12</f>
        <v>63411.28</v>
      </c>
      <c r="E184" s="10">
        <v>64911.29</v>
      </c>
      <c r="F184" s="38">
        <f t="shared" si="21"/>
        <v>102.36552550271813</v>
      </c>
    </row>
    <row r="185" spans="1:6" ht="170.25" customHeight="1">
      <c r="A185" s="30" t="s">
        <v>413</v>
      </c>
      <c r="B185" s="48" t="s">
        <v>414</v>
      </c>
      <c r="C185" s="10">
        <f>C186+C190</f>
        <v>77000</v>
      </c>
      <c r="D185" s="10">
        <f>D186+D190</f>
        <v>78480.42</v>
      </c>
      <c r="E185" s="10">
        <f>E186+E190</f>
        <v>79666.89</v>
      </c>
      <c r="F185" s="38">
        <f t="shared" si="21"/>
        <v>101.51180383591219</v>
      </c>
    </row>
    <row r="186" spans="1:6" ht="99">
      <c r="A186" s="30" t="s">
        <v>415</v>
      </c>
      <c r="B186" s="48" t="s">
        <v>416</v>
      </c>
      <c r="C186" s="10">
        <v>0</v>
      </c>
      <c r="D186" s="10">
        <f>D187</f>
        <v>77418.77</v>
      </c>
      <c r="E186" s="10">
        <f>E187</f>
        <v>78605.24</v>
      </c>
      <c r="F186" s="38">
        <f t="shared" si="21"/>
        <v>101.53253532702729</v>
      </c>
    </row>
    <row r="187" spans="1:6" ht="115.5">
      <c r="A187" s="30" t="s">
        <v>417</v>
      </c>
      <c r="B187" s="48" t="s">
        <v>418</v>
      </c>
      <c r="C187" s="10">
        <v>0</v>
      </c>
      <c r="D187" s="10">
        <f>SUM(D188:D189)</f>
        <v>77418.77</v>
      </c>
      <c r="E187" s="10">
        <f>SUM(E188:E189)</f>
        <v>78605.24</v>
      </c>
      <c r="F187" s="38">
        <f t="shared" si="21"/>
        <v>101.53253532702729</v>
      </c>
    </row>
    <row r="188" spans="1:6" ht="115.5">
      <c r="A188" s="30" t="s">
        <v>430</v>
      </c>
      <c r="B188" s="48" t="s">
        <v>418</v>
      </c>
      <c r="C188" s="10">
        <v>0</v>
      </c>
      <c r="D188" s="10">
        <f>2523.83+11000+7039.36</f>
        <v>20563.19</v>
      </c>
      <c r="E188" s="10">
        <v>20563.19</v>
      </c>
      <c r="F188" s="38">
        <f t="shared" si="21"/>
        <v>100</v>
      </c>
    </row>
    <row r="189" spans="1:6" ht="115.5">
      <c r="A189" s="30" t="s">
        <v>431</v>
      </c>
      <c r="B189" s="48" t="s">
        <v>418</v>
      </c>
      <c r="C189" s="10">
        <v>0</v>
      </c>
      <c r="D189" s="10">
        <f>55680+1175.58</f>
        <v>56855.58</v>
      </c>
      <c r="E189" s="10">
        <v>58042.05</v>
      </c>
      <c r="F189" s="38">
        <f t="shared" si="21"/>
        <v>102.08681364256596</v>
      </c>
    </row>
    <row r="190" spans="1:6" ht="132">
      <c r="A190" s="27" t="s">
        <v>129</v>
      </c>
      <c r="B190" s="42" t="s">
        <v>242</v>
      </c>
      <c r="C190" s="10">
        <f>C191</f>
        <v>77000</v>
      </c>
      <c r="D190" s="10">
        <f>D191</f>
        <v>1061.6499999999999</v>
      </c>
      <c r="E190" s="10">
        <f>E191</f>
        <v>1061.65</v>
      </c>
      <c r="F190" s="38">
        <f t="shared" si="21"/>
        <v>100.00000000000003</v>
      </c>
    </row>
    <row r="191" spans="1:6" ht="123" customHeight="1">
      <c r="A191" s="27" t="s">
        <v>128</v>
      </c>
      <c r="B191" s="49" t="s">
        <v>171</v>
      </c>
      <c r="C191" s="35">
        <f>C192+C193</f>
        <v>77000</v>
      </c>
      <c r="D191" s="11">
        <f>SUM(D192)</f>
        <v>1061.6499999999999</v>
      </c>
      <c r="E191" s="11">
        <f>SUM(E192)</f>
        <v>1061.65</v>
      </c>
      <c r="F191" s="38">
        <f t="shared" si="21"/>
        <v>100.00000000000003</v>
      </c>
    </row>
    <row r="192" spans="1:6" ht="115.5">
      <c r="A192" s="27" t="s">
        <v>125</v>
      </c>
      <c r="B192" s="49" t="s">
        <v>171</v>
      </c>
      <c r="C192" s="35">
        <v>59000</v>
      </c>
      <c r="D192" s="11">
        <f>292.5+769.08+0.07</f>
        <v>1061.6499999999999</v>
      </c>
      <c r="E192" s="11">
        <v>1061.65</v>
      </c>
      <c r="F192" s="38">
        <f t="shared" si="21"/>
        <v>100.00000000000003</v>
      </c>
    </row>
    <row r="193" spans="1:6" ht="115.5">
      <c r="A193" s="34" t="s">
        <v>464</v>
      </c>
      <c r="B193" s="49" t="s">
        <v>171</v>
      </c>
      <c r="C193" s="35">
        <v>18000</v>
      </c>
      <c r="D193" s="11">
        <v>0</v>
      </c>
      <c r="E193" s="11">
        <v>0</v>
      </c>
      <c r="F193" s="38">
        <v>0</v>
      </c>
    </row>
    <row r="194" spans="1:6" ht="36">
      <c r="A194" s="27" t="s">
        <v>130</v>
      </c>
      <c r="B194" s="49" t="s">
        <v>172</v>
      </c>
      <c r="C194" s="35">
        <f>C195</f>
        <v>70000</v>
      </c>
      <c r="D194" s="11">
        <f aca="true" t="shared" si="24" ref="D194:E196">D195</f>
        <v>29085.77</v>
      </c>
      <c r="E194" s="11">
        <f t="shared" si="24"/>
        <v>29121.08</v>
      </c>
      <c r="F194" s="38">
        <f t="shared" si="21"/>
        <v>100.12139957099298</v>
      </c>
    </row>
    <row r="195" spans="1:6" ht="117.75" customHeight="1">
      <c r="A195" s="27" t="s">
        <v>254</v>
      </c>
      <c r="B195" s="49" t="s">
        <v>255</v>
      </c>
      <c r="C195" s="35">
        <f>C196</f>
        <v>70000</v>
      </c>
      <c r="D195" s="11">
        <f>D196+D201</f>
        <v>29085.77</v>
      </c>
      <c r="E195" s="11">
        <f>E196+E201</f>
        <v>29121.08</v>
      </c>
      <c r="F195" s="38">
        <f t="shared" si="21"/>
        <v>100.12139957099298</v>
      </c>
    </row>
    <row r="196" spans="1:6" ht="108" customHeight="1">
      <c r="A196" s="27" t="s">
        <v>256</v>
      </c>
      <c r="B196" s="49" t="s">
        <v>257</v>
      </c>
      <c r="C196" s="35">
        <f>C197</f>
        <v>70000</v>
      </c>
      <c r="D196" s="11">
        <f t="shared" si="24"/>
        <v>28621.18</v>
      </c>
      <c r="E196" s="11">
        <f t="shared" si="24"/>
        <v>28661.620000000003</v>
      </c>
      <c r="F196" s="38">
        <f t="shared" si="21"/>
        <v>100.14129396481908</v>
      </c>
    </row>
    <row r="197" spans="1:6" ht="218.25" customHeight="1">
      <c r="A197" s="27" t="s">
        <v>258</v>
      </c>
      <c r="B197" s="49" t="s">
        <v>259</v>
      </c>
      <c r="C197" s="35">
        <f>SUM(C198:C202)</f>
        <v>70000</v>
      </c>
      <c r="D197" s="11">
        <f>SUM(D198:D200)</f>
        <v>28621.18</v>
      </c>
      <c r="E197" s="11">
        <f>SUM(E198:E200)</f>
        <v>28661.620000000003</v>
      </c>
      <c r="F197" s="38">
        <f t="shared" si="21"/>
        <v>100.14129396481908</v>
      </c>
    </row>
    <row r="198" spans="1:6" ht="217.5" customHeight="1">
      <c r="A198" s="27" t="s">
        <v>361</v>
      </c>
      <c r="B198" s="49" t="s">
        <v>259</v>
      </c>
      <c r="C198" s="35">
        <v>0</v>
      </c>
      <c r="D198" s="11">
        <f>3223.04+600+44.8+0.02+64.97</f>
        <v>3932.83</v>
      </c>
      <c r="E198" s="11">
        <v>3932.83</v>
      </c>
      <c r="F198" s="38">
        <f t="shared" si="21"/>
        <v>100</v>
      </c>
    </row>
    <row r="199" spans="1:6" ht="216.75" customHeight="1">
      <c r="A199" s="27" t="s">
        <v>260</v>
      </c>
      <c r="B199" s="49" t="s">
        <v>259</v>
      </c>
      <c r="C199" s="35">
        <v>70000</v>
      </c>
      <c r="D199" s="11">
        <f>70000-20450-3223.04-16000-3145.04-5000+1496.43+10</f>
        <v>23688.35</v>
      </c>
      <c r="E199" s="11">
        <v>23728.79</v>
      </c>
      <c r="F199" s="38">
        <f t="shared" si="21"/>
        <v>100.17071682915866</v>
      </c>
    </row>
    <row r="200" spans="1:6" ht="219" customHeight="1">
      <c r="A200" s="27" t="s">
        <v>335</v>
      </c>
      <c r="B200" s="49" t="s">
        <v>259</v>
      </c>
      <c r="C200" s="35">
        <v>0</v>
      </c>
      <c r="D200" s="11">
        <v>1000</v>
      </c>
      <c r="E200" s="11">
        <v>1000</v>
      </c>
      <c r="F200" s="38">
        <f t="shared" si="21"/>
        <v>100</v>
      </c>
    </row>
    <row r="201" spans="1:6" ht="120" customHeight="1">
      <c r="A201" s="28" t="s">
        <v>382</v>
      </c>
      <c r="B201" s="49" t="s">
        <v>383</v>
      </c>
      <c r="C201" s="35">
        <v>0</v>
      </c>
      <c r="D201" s="11">
        <f>D202</f>
        <v>464.59000000000003</v>
      </c>
      <c r="E201" s="11">
        <f>E202</f>
        <v>459.46</v>
      </c>
      <c r="F201" s="38">
        <f t="shared" si="21"/>
        <v>98.89580059837705</v>
      </c>
    </row>
    <row r="202" spans="1:6" ht="120.75" customHeight="1">
      <c r="A202" s="28" t="s">
        <v>384</v>
      </c>
      <c r="B202" s="49" t="s">
        <v>383</v>
      </c>
      <c r="C202" s="35">
        <v>0</v>
      </c>
      <c r="D202" s="11">
        <f>659.46-120-74.87</f>
        <v>464.59000000000003</v>
      </c>
      <c r="E202" s="11">
        <v>459.46</v>
      </c>
      <c r="F202" s="38">
        <f t="shared" si="21"/>
        <v>98.89580059837705</v>
      </c>
    </row>
    <row r="203" spans="1:6" ht="41.25" customHeight="1">
      <c r="A203" s="28" t="s">
        <v>385</v>
      </c>
      <c r="B203" s="49" t="s">
        <v>388</v>
      </c>
      <c r="C203" s="35">
        <v>0</v>
      </c>
      <c r="D203" s="11">
        <f>D204</f>
        <v>93683</v>
      </c>
      <c r="E203" s="11">
        <f>E204</f>
        <v>93683</v>
      </c>
      <c r="F203" s="38">
        <f t="shared" si="21"/>
        <v>100</v>
      </c>
    </row>
    <row r="204" spans="1:6" ht="170.25" customHeight="1">
      <c r="A204" s="28" t="s">
        <v>386</v>
      </c>
      <c r="B204" s="49" t="s">
        <v>387</v>
      </c>
      <c r="C204" s="35">
        <v>0</v>
      </c>
      <c r="D204" s="11">
        <f>D205+D206</f>
        <v>93683</v>
      </c>
      <c r="E204" s="11">
        <f>E205+E206</f>
        <v>93683</v>
      </c>
      <c r="F204" s="38">
        <f t="shared" si="21"/>
        <v>100</v>
      </c>
    </row>
    <row r="205" spans="1:6" ht="169.5" customHeight="1">
      <c r="A205" s="29" t="s">
        <v>400</v>
      </c>
      <c r="B205" s="49" t="s">
        <v>387</v>
      </c>
      <c r="C205" s="35">
        <v>0</v>
      </c>
      <c r="D205" s="11">
        <v>13683</v>
      </c>
      <c r="E205" s="11">
        <v>13683</v>
      </c>
      <c r="F205" s="38">
        <f t="shared" si="21"/>
        <v>100</v>
      </c>
    </row>
    <row r="206" spans="1:6" ht="171.75" customHeight="1">
      <c r="A206" s="28" t="s">
        <v>389</v>
      </c>
      <c r="B206" s="49" t="s">
        <v>387</v>
      </c>
      <c r="C206" s="35">
        <v>0</v>
      </c>
      <c r="D206" s="11">
        <v>80000</v>
      </c>
      <c r="E206" s="11">
        <v>80000</v>
      </c>
      <c r="F206" s="38">
        <f t="shared" si="21"/>
        <v>100</v>
      </c>
    </row>
    <row r="207" spans="1:6" ht="18">
      <c r="A207" s="12" t="s">
        <v>34</v>
      </c>
      <c r="B207" s="46" t="s">
        <v>123</v>
      </c>
      <c r="C207" s="18">
        <f>C208</f>
        <v>290424793.54</v>
      </c>
      <c r="D207" s="13">
        <f>D208+D276+D280+D288+D292</f>
        <v>317739767.49</v>
      </c>
      <c r="E207" s="13">
        <f>E208+E276+E280+E288+E292</f>
        <v>313122337.83</v>
      </c>
      <c r="F207" s="18">
        <f t="shared" si="21"/>
        <v>98.54678887176269</v>
      </c>
    </row>
    <row r="208" spans="1:6" ht="56.25" customHeight="1">
      <c r="A208" s="12" t="s">
        <v>47</v>
      </c>
      <c r="B208" s="46" t="s">
        <v>173</v>
      </c>
      <c r="C208" s="18">
        <f>C209+C216+C244+C262</f>
        <v>290424793.54</v>
      </c>
      <c r="D208" s="13">
        <f>D209+D216+D244+D262</f>
        <v>317858337.1</v>
      </c>
      <c r="E208" s="13">
        <f>E209+E216+E244+E262</f>
        <v>313240907.44</v>
      </c>
      <c r="F208" s="18">
        <f t="shared" si="21"/>
        <v>98.54733095814713</v>
      </c>
    </row>
    <row r="209" spans="1:6" ht="33">
      <c r="A209" s="12" t="s">
        <v>90</v>
      </c>
      <c r="B209" s="41" t="s">
        <v>174</v>
      </c>
      <c r="C209" s="18">
        <f>C210+C213</f>
        <v>126618020</v>
      </c>
      <c r="D209" s="13">
        <f>D210+D213</f>
        <v>135552210</v>
      </c>
      <c r="E209" s="13">
        <f>E210+E213</f>
        <v>135552210</v>
      </c>
      <c r="F209" s="18">
        <f aca="true" t="shared" si="25" ref="F209:F272">E209/D209*100</f>
        <v>100</v>
      </c>
    </row>
    <row r="210" spans="1:6" ht="33">
      <c r="A210" s="27" t="s">
        <v>91</v>
      </c>
      <c r="B210" s="42" t="s">
        <v>175</v>
      </c>
      <c r="C210" s="10">
        <f aca="true" t="shared" si="26" ref="C210:E211">C211</f>
        <v>108208100</v>
      </c>
      <c r="D210" s="14">
        <f t="shared" si="26"/>
        <v>108208100</v>
      </c>
      <c r="E210" s="14">
        <f t="shared" si="26"/>
        <v>108208100</v>
      </c>
      <c r="F210" s="38">
        <f t="shared" si="25"/>
        <v>100</v>
      </c>
    </row>
    <row r="211" spans="1:6" ht="56.25" customHeight="1">
      <c r="A211" s="27" t="s">
        <v>92</v>
      </c>
      <c r="B211" s="42" t="s">
        <v>219</v>
      </c>
      <c r="C211" s="10">
        <f t="shared" si="26"/>
        <v>108208100</v>
      </c>
      <c r="D211" s="14">
        <f t="shared" si="26"/>
        <v>108208100</v>
      </c>
      <c r="E211" s="14">
        <f t="shared" si="26"/>
        <v>108208100</v>
      </c>
      <c r="F211" s="38">
        <f t="shared" si="25"/>
        <v>100</v>
      </c>
    </row>
    <row r="212" spans="1:6" ht="55.5" customHeight="1">
      <c r="A212" s="27" t="s">
        <v>93</v>
      </c>
      <c r="B212" s="42" t="s">
        <v>219</v>
      </c>
      <c r="C212" s="10">
        <v>108208100</v>
      </c>
      <c r="D212" s="14">
        <f>102491500+5716600</f>
        <v>108208100</v>
      </c>
      <c r="E212" s="15">
        <v>108208100</v>
      </c>
      <c r="F212" s="38">
        <f t="shared" si="25"/>
        <v>100</v>
      </c>
    </row>
    <row r="213" spans="1:6" ht="33">
      <c r="A213" s="27" t="s">
        <v>94</v>
      </c>
      <c r="B213" s="42" t="s">
        <v>176</v>
      </c>
      <c r="C213" s="10">
        <f aca="true" t="shared" si="27" ref="C213:E214">C214</f>
        <v>18409920</v>
      </c>
      <c r="D213" s="14">
        <f t="shared" si="27"/>
        <v>27344110</v>
      </c>
      <c r="E213" s="14">
        <f t="shared" si="27"/>
        <v>27344110</v>
      </c>
      <c r="F213" s="38">
        <f t="shared" si="25"/>
        <v>100</v>
      </c>
    </row>
    <row r="214" spans="1:6" ht="49.5">
      <c r="A214" s="27" t="s">
        <v>95</v>
      </c>
      <c r="B214" s="42" t="s">
        <v>177</v>
      </c>
      <c r="C214" s="10">
        <f t="shared" si="27"/>
        <v>18409920</v>
      </c>
      <c r="D214" s="14">
        <f t="shared" si="27"/>
        <v>27344110</v>
      </c>
      <c r="E214" s="14">
        <f t="shared" si="27"/>
        <v>27344110</v>
      </c>
      <c r="F214" s="38">
        <f t="shared" si="25"/>
        <v>100</v>
      </c>
    </row>
    <row r="215" spans="1:6" ht="49.5">
      <c r="A215" s="27" t="s">
        <v>96</v>
      </c>
      <c r="B215" s="42" t="s">
        <v>177</v>
      </c>
      <c r="C215" s="10">
        <v>18409920</v>
      </c>
      <c r="D215" s="14">
        <f>14423180+3986740+6817608+2116582</f>
        <v>27344110</v>
      </c>
      <c r="E215" s="15">
        <v>27344110</v>
      </c>
      <c r="F215" s="38">
        <f t="shared" si="25"/>
        <v>100</v>
      </c>
    </row>
    <row r="216" spans="1:6" s="6" customFormat="1" ht="49.5">
      <c r="A216" s="12" t="s">
        <v>97</v>
      </c>
      <c r="B216" s="46" t="s">
        <v>178</v>
      </c>
      <c r="C216" s="18">
        <f>C217+C220+C223+C226+C229+C232+C235+C238</f>
        <v>32218922.330000002</v>
      </c>
      <c r="D216" s="13">
        <f>D238+D217+D232+D223+D226+D229+D235</f>
        <v>38372265.67</v>
      </c>
      <c r="E216" s="13">
        <f>E238+E217+E232+E223+E226+E229+E235</f>
        <v>35749711.62</v>
      </c>
      <c r="F216" s="18">
        <f t="shared" si="25"/>
        <v>93.16549595336937</v>
      </c>
    </row>
    <row r="217" spans="1:7" s="6" customFormat="1" ht="51" customHeight="1">
      <c r="A217" s="27" t="s">
        <v>237</v>
      </c>
      <c r="B217" s="43" t="s">
        <v>238</v>
      </c>
      <c r="C217" s="10">
        <f aca="true" t="shared" si="28" ref="C217:E218">C218</f>
        <v>9074320.33</v>
      </c>
      <c r="D217" s="14">
        <f t="shared" si="28"/>
        <v>8199599.3100000005</v>
      </c>
      <c r="E217" s="14">
        <f t="shared" si="28"/>
        <v>7804398.86</v>
      </c>
      <c r="F217" s="38">
        <f t="shared" si="25"/>
        <v>95.18024680159645</v>
      </c>
      <c r="G217" s="25"/>
    </row>
    <row r="218" spans="1:7" s="6" customFormat="1" ht="58.5" customHeight="1">
      <c r="A218" s="27" t="s">
        <v>239</v>
      </c>
      <c r="B218" s="43" t="s">
        <v>240</v>
      </c>
      <c r="C218" s="10">
        <f t="shared" si="28"/>
        <v>9074320.33</v>
      </c>
      <c r="D218" s="14">
        <f t="shared" si="28"/>
        <v>8199599.3100000005</v>
      </c>
      <c r="E218" s="14">
        <f t="shared" si="28"/>
        <v>7804398.86</v>
      </c>
      <c r="F218" s="38">
        <f t="shared" si="25"/>
        <v>95.18024680159645</v>
      </c>
      <c r="G218" s="26"/>
    </row>
    <row r="219" spans="1:6" s="6" customFormat="1" ht="60" customHeight="1">
      <c r="A219" s="27" t="s">
        <v>241</v>
      </c>
      <c r="B219" s="43" t="s">
        <v>240</v>
      </c>
      <c r="C219" s="10">
        <v>9074320.33</v>
      </c>
      <c r="D219" s="14">
        <f>5074320.33+4000000-874721.02</f>
        <v>8199599.3100000005</v>
      </c>
      <c r="E219" s="14">
        <v>7804398.86</v>
      </c>
      <c r="F219" s="38">
        <f t="shared" si="25"/>
        <v>95.18024680159645</v>
      </c>
    </row>
    <row r="220" spans="1:6" s="6" customFormat="1" ht="126" customHeight="1">
      <c r="A220" s="34" t="s">
        <v>465</v>
      </c>
      <c r="B220" s="43" t="s">
        <v>468</v>
      </c>
      <c r="C220" s="10">
        <f>C221</f>
        <v>4535579.24</v>
      </c>
      <c r="D220" s="37">
        <f>D221</f>
        <v>0</v>
      </c>
      <c r="E220" s="14">
        <v>0</v>
      </c>
      <c r="F220" s="38">
        <v>0</v>
      </c>
    </row>
    <row r="221" spans="1:6" s="6" customFormat="1" ht="142.5" customHeight="1">
      <c r="A221" s="34" t="s">
        <v>466</v>
      </c>
      <c r="B221" s="43" t="s">
        <v>469</v>
      </c>
      <c r="C221" s="10">
        <f>C222</f>
        <v>4535579.24</v>
      </c>
      <c r="D221" s="37">
        <f>D222</f>
        <v>0</v>
      </c>
      <c r="E221" s="14">
        <v>0</v>
      </c>
      <c r="F221" s="38">
        <v>0</v>
      </c>
    </row>
    <row r="222" spans="1:6" s="6" customFormat="1" ht="141" customHeight="1">
      <c r="A222" s="34" t="s">
        <v>467</v>
      </c>
      <c r="B222" s="43" t="s">
        <v>469</v>
      </c>
      <c r="C222" s="10">
        <v>4535579.24</v>
      </c>
      <c r="D222" s="14">
        <v>0</v>
      </c>
      <c r="E222" s="14">
        <v>0</v>
      </c>
      <c r="F222" s="38">
        <v>0</v>
      </c>
    </row>
    <row r="223" spans="1:6" s="6" customFormat="1" ht="88.5" customHeight="1">
      <c r="A223" s="27" t="s">
        <v>336</v>
      </c>
      <c r="B223" s="43" t="s">
        <v>337</v>
      </c>
      <c r="C223" s="10">
        <v>0</v>
      </c>
      <c r="D223" s="14">
        <f>D224</f>
        <v>2630898.99</v>
      </c>
      <c r="E223" s="14">
        <f>E224</f>
        <v>2630898.99</v>
      </c>
      <c r="F223" s="38">
        <f t="shared" si="25"/>
        <v>100</v>
      </c>
    </row>
    <row r="224" spans="1:6" s="6" customFormat="1" ht="99">
      <c r="A224" s="27" t="s">
        <v>338</v>
      </c>
      <c r="B224" s="43" t="s">
        <v>339</v>
      </c>
      <c r="C224" s="10">
        <v>0</v>
      </c>
      <c r="D224" s="14">
        <f>D225</f>
        <v>2630898.99</v>
      </c>
      <c r="E224" s="14">
        <f>E225</f>
        <v>2630898.99</v>
      </c>
      <c r="F224" s="38">
        <f t="shared" si="25"/>
        <v>100</v>
      </c>
    </row>
    <row r="225" spans="1:6" s="6" customFormat="1" ht="99">
      <c r="A225" s="27" t="s">
        <v>340</v>
      </c>
      <c r="B225" s="43" t="s">
        <v>339</v>
      </c>
      <c r="C225" s="10">
        <v>0</v>
      </c>
      <c r="D225" s="14">
        <v>2630898.99</v>
      </c>
      <c r="E225" s="14">
        <v>2630898.99</v>
      </c>
      <c r="F225" s="38">
        <f t="shared" si="25"/>
        <v>100</v>
      </c>
    </row>
    <row r="226" spans="1:6" s="6" customFormat="1" ht="121.5" customHeight="1">
      <c r="A226" s="27" t="s">
        <v>341</v>
      </c>
      <c r="B226" s="43" t="s">
        <v>343</v>
      </c>
      <c r="C226" s="10">
        <v>0</v>
      </c>
      <c r="D226" s="14">
        <f>D227</f>
        <v>3137470.72</v>
      </c>
      <c r="E226" s="14">
        <f>E227</f>
        <v>3113159.36</v>
      </c>
      <c r="F226" s="38">
        <f t="shared" si="25"/>
        <v>99.22512870494612</v>
      </c>
    </row>
    <row r="227" spans="1:6" s="6" customFormat="1" ht="123" customHeight="1">
      <c r="A227" s="27" t="s">
        <v>342</v>
      </c>
      <c r="B227" s="43" t="s">
        <v>344</v>
      </c>
      <c r="C227" s="10">
        <v>0</v>
      </c>
      <c r="D227" s="14">
        <f>D228</f>
        <v>3137470.72</v>
      </c>
      <c r="E227" s="14">
        <f>E228</f>
        <v>3113159.36</v>
      </c>
      <c r="F227" s="38">
        <f t="shared" si="25"/>
        <v>99.22512870494612</v>
      </c>
    </row>
    <row r="228" spans="1:6" s="6" customFormat="1" ht="132">
      <c r="A228" s="27" t="s">
        <v>345</v>
      </c>
      <c r="B228" s="43" t="s">
        <v>344</v>
      </c>
      <c r="C228" s="10">
        <v>0</v>
      </c>
      <c r="D228" s="14">
        <v>3137470.72</v>
      </c>
      <c r="E228" s="14">
        <v>3113159.36</v>
      </c>
      <c r="F228" s="38">
        <f t="shared" si="25"/>
        <v>99.22512870494612</v>
      </c>
    </row>
    <row r="229" spans="1:6" s="6" customFormat="1" ht="66">
      <c r="A229" s="27" t="s">
        <v>346</v>
      </c>
      <c r="B229" s="43" t="s">
        <v>357</v>
      </c>
      <c r="C229" s="10">
        <v>0</v>
      </c>
      <c r="D229" s="14">
        <f>D230</f>
        <v>1899552.39</v>
      </c>
      <c r="E229" s="14">
        <f>E230</f>
        <v>1892505.16</v>
      </c>
      <c r="F229" s="38">
        <f t="shared" si="25"/>
        <v>99.62900575750902</v>
      </c>
    </row>
    <row r="230" spans="1:6" s="6" customFormat="1" ht="82.5">
      <c r="A230" s="27" t="s">
        <v>347</v>
      </c>
      <c r="B230" s="43" t="s">
        <v>349</v>
      </c>
      <c r="C230" s="10">
        <v>0</v>
      </c>
      <c r="D230" s="14">
        <f>D231</f>
        <v>1899552.39</v>
      </c>
      <c r="E230" s="14">
        <f>E231</f>
        <v>1892505.16</v>
      </c>
      <c r="F230" s="38">
        <f t="shared" si="25"/>
        <v>99.62900575750902</v>
      </c>
    </row>
    <row r="231" spans="1:6" s="6" customFormat="1" ht="82.5">
      <c r="A231" s="27" t="s">
        <v>348</v>
      </c>
      <c r="B231" s="43" t="s">
        <v>349</v>
      </c>
      <c r="C231" s="10">
        <v>0</v>
      </c>
      <c r="D231" s="14">
        <v>1899552.39</v>
      </c>
      <c r="E231" s="14">
        <v>1892505.16</v>
      </c>
      <c r="F231" s="38">
        <f t="shared" si="25"/>
        <v>99.62900575750902</v>
      </c>
    </row>
    <row r="232" spans="1:6" s="6" customFormat="1" ht="87.75" customHeight="1">
      <c r="A232" s="27" t="s">
        <v>277</v>
      </c>
      <c r="B232" s="43" t="s">
        <v>278</v>
      </c>
      <c r="C232" s="10">
        <f aca="true" t="shared" si="29" ref="C232:E233">C233</f>
        <v>7801569.6</v>
      </c>
      <c r="D232" s="14">
        <f t="shared" si="29"/>
        <v>7801569.6</v>
      </c>
      <c r="E232" s="14">
        <f t="shared" si="29"/>
        <v>5846728.28</v>
      </c>
      <c r="F232" s="38">
        <f t="shared" si="25"/>
        <v>74.94297403948048</v>
      </c>
    </row>
    <row r="233" spans="1:6" s="6" customFormat="1" ht="89.25" customHeight="1">
      <c r="A233" s="27" t="s">
        <v>275</v>
      </c>
      <c r="B233" s="43" t="s">
        <v>279</v>
      </c>
      <c r="C233" s="10">
        <f t="shared" si="29"/>
        <v>7801569.6</v>
      </c>
      <c r="D233" s="14">
        <f t="shared" si="29"/>
        <v>7801569.6</v>
      </c>
      <c r="E233" s="14">
        <f t="shared" si="29"/>
        <v>5846728.28</v>
      </c>
      <c r="F233" s="38">
        <f t="shared" si="25"/>
        <v>74.94297403948048</v>
      </c>
    </row>
    <row r="234" spans="1:6" s="6" customFormat="1" ht="92.25" customHeight="1">
      <c r="A234" s="27" t="s">
        <v>276</v>
      </c>
      <c r="B234" s="43" t="s">
        <v>279</v>
      </c>
      <c r="C234" s="10">
        <v>7801569.6</v>
      </c>
      <c r="D234" s="14">
        <v>7801569.6</v>
      </c>
      <c r="E234" s="14">
        <v>5846728.28</v>
      </c>
      <c r="F234" s="38">
        <f t="shared" si="25"/>
        <v>74.94297403948048</v>
      </c>
    </row>
    <row r="235" spans="1:6" s="6" customFormat="1" ht="46.5" customHeight="1">
      <c r="A235" s="32" t="s">
        <v>426</v>
      </c>
      <c r="B235" s="43" t="s">
        <v>427</v>
      </c>
      <c r="C235" s="10">
        <v>0</v>
      </c>
      <c r="D235" s="14">
        <f>D236</f>
        <v>84641</v>
      </c>
      <c r="E235" s="14">
        <f>E236</f>
        <v>84641</v>
      </c>
      <c r="F235" s="38">
        <f t="shared" si="25"/>
        <v>100</v>
      </c>
    </row>
    <row r="236" spans="1:6" s="6" customFormat="1" ht="46.5" customHeight="1">
      <c r="A236" s="32" t="s">
        <v>425</v>
      </c>
      <c r="B236" s="43" t="s">
        <v>428</v>
      </c>
      <c r="C236" s="10">
        <v>0</v>
      </c>
      <c r="D236" s="14">
        <f>D237</f>
        <v>84641</v>
      </c>
      <c r="E236" s="14">
        <f>E237</f>
        <v>84641</v>
      </c>
      <c r="F236" s="38">
        <f t="shared" si="25"/>
        <v>100</v>
      </c>
    </row>
    <row r="237" spans="1:6" s="6" customFormat="1" ht="43.5" customHeight="1">
      <c r="A237" s="32" t="s">
        <v>429</v>
      </c>
      <c r="B237" s="43" t="s">
        <v>428</v>
      </c>
      <c r="C237" s="10">
        <v>0</v>
      </c>
      <c r="D237" s="14">
        <v>84641</v>
      </c>
      <c r="E237" s="14">
        <v>84641</v>
      </c>
      <c r="F237" s="38">
        <f t="shared" si="25"/>
        <v>100</v>
      </c>
    </row>
    <row r="238" spans="1:6" ht="18">
      <c r="A238" s="27" t="s">
        <v>98</v>
      </c>
      <c r="B238" s="43" t="s">
        <v>180</v>
      </c>
      <c r="C238" s="10">
        <f>C239</f>
        <v>10807453.16</v>
      </c>
      <c r="D238" s="14">
        <f>D239</f>
        <v>14618533.66</v>
      </c>
      <c r="E238" s="14">
        <f>E239</f>
        <v>14377379.97</v>
      </c>
      <c r="F238" s="38">
        <f t="shared" si="25"/>
        <v>98.35035650217192</v>
      </c>
    </row>
    <row r="239" spans="1:6" ht="33">
      <c r="A239" s="27" t="s">
        <v>99</v>
      </c>
      <c r="B239" s="43" t="s">
        <v>179</v>
      </c>
      <c r="C239" s="10">
        <f>SUM(C240:C243)</f>
        <v>10807453.16</v>
      </c>
      <c r="D239" s="14">
        <f>SUM(D240:D243)</f>
        <v>14618533.66</v>
      </c>
      <c r="E239" s="14">
        <f>SUM(E240:E243)</f>
        <v>14377379.97</v>
      </c>
      <c r="F239" s="38">
        <f t="shared" si="25"/>
        <v>98.35035650217192</v>
      </c>
    </row>
    <row r="240" spans="1:6" ht="33">
      <c r="A240" s="27" t="s">
        <v>100</v>
      </c>
      <c r="B240" s="43" t="s">
        <v>179</v>
      </c>
      <c r="C240" s="10">
        <v>7922165</v>
      </c>
      <c r="D240" s="14">
        <f>7257525+431000+233640+1000000</f>
        <v>8922165</v>
      </c>
      <c r="E240" s="14">
        <v>8822069.39</v>
      </c>
      <c r="F240" s="38">
        <f t="shared" si="25"/>
        <v>98.87812419967575</v>
      </c>
    </row>
    <row r="241" spans="1:6" ht="33">
      <c r="A241" s="27" t="s">
        <v>101</v>
      </c>
      <c r="B241" s="43" t="s">
        <v>179</v>
      </c>
      <c r="C241" s="10">
        <v>2834303.16</v>
      </c>
      <c r="D241" s="14">
        <f>1834303.16+1000000+1000000-1000000+34933.48+100000+926088.84</f>
        <v>3895325.48</v>
      </c>
      <c r="E241" s="14">
        <v>3865695.23</v>
      </c>
      <c r="F241" s="38">
        <f t="shared" si="25"/>
        <v>99.23933827475695</v>
      </c>
    </row>
    <row r="242" spans="1:6" ht="33">
      <c r="A242" s="27" t="s">
        <v>280</v>
      </c>
      <c r="B242" s="43" t="s">
        <v>179</v>
      </c>
      <c r="C242" s="10">
        <v>50985</v>
      </c>
      <c r="D242" s="14">
        <f>50985+300366-194931</f>
        <v>156420</v>
      </c>
      <c r="E242" s="14">
        <v>118453.5</v>
      </c>
      <c r="F242" s="38">
        <f t="shared" si="25"/>
        <v>75.72784810126582</v>
      </c>
    </row>
    <row r="243" spans="1:6" ht="33">
      <c r="A243" s="31" t="s">
        <v>419</v>
      </c>
      <c r="B243" s="43" t="s">
        <v>179</v>
      </c>
      <c r="C243" s="10">
        <v>0</v>
      </c>
      <c r="D243" s="14">
        <v>1644623.18</v>
      </c>
      <c r="E243" s="14">
        <v>1571161.85</v>
      </c>
      <c r="F243" s="38">
        <f t="shared" si="25"/>
        <v>95.53324245375163</v>
      </c>
    </row>
    <row r="244" spans="1:6" ht="33">
      <c r="A244" s="12" t="s">
        <v>102</v>
      </c>
      <c r="B244" s="41" t="s">
        <v>181</v>
      </c>
      <c r="C244" s="18">
        <f>C245+C250+C253+C256+C259</f>
        <v>123150891.21</v>
      </c>
      <c r="D244" s="13">
        <f>D245+D259+D250+D256</f>
        <v>125531552.52</v>
      </c>
      <c r="E244" s="13">
        <f>E245+E259+E250+E256</f>
        <v>125376722.25</v>
      </c>
      <c r="F244" s="18">
        <f t="shared" si="25"/>
        <v>99.87666027632748</v>
      </c>
    </row>
    <row r="245" spans="1:6" ht="49.5">
      <c r="A245" s="27" t="s">
        <v>103</v>
      </c>
      <c r="B245" s="42" t="s">
        <v>182</v>
      </c>
      <c r="C245" s="10">
        <f>C246</f>
        <v>1931410.05</v>
      </c>
      <c r="D245" s="14">
        <f>D246</f>
        <v>1816389.2999999998</v>
      </c>
      <c r="E245" s="14">
        <f>E246</f>
        <v>1806160.23</v>
      </c>
      <c r="F245" s="38">
        <f t="shared" si="25"/>
        <v>99.43684594486436</v>
      </c>
    </row>
    <row r="246" spans="1:6" ht="66">
      <c r="A246" s="27" t="s">
        <v>104</v>
      </c>
      <c r="B246" s="42" t="s">
        <v>183</v>
      </c>
      <c r="C246" s="10">
        <f>SUM(C247:C249)</f>
        <v>1931410.05</v>
      </c>
      <c r="D246" s="14">
        <f>SUM(D247:D249)</f>
        <v>1816389.2999999998</v>
      </c>
      <c r="E246" s="14">
        <f>SUM(E247:E249)</f>
        <v>1806160.23</v>
      </c>
      <c r="F246" s="38">
        <f t="shared" si="25"/>
        <v>99.43684594486436</v>
      </c>
    </row>
    <row r="247" spans="1:6" ht="66">
      <c r="A247" s="27" t="s">
        <v>105</v>
      </c>
      <c r="B247" s="42" t="s">
        <v>183</v>
      </c>
      <c r="C247" s="10">
        <v>458905.82</v>
      </c>
      <c r="D247" s="14">
        <f>458905.82+3713.13</f>
        <v>462618.95</v>
      </c>
      <c r="E247" s="14">
        <v>462618.95</v>
      </c>
      <c r="F247" s="38">
        <f t="shared" si="25"/>
        <v>100</v>
      </c>
    </row>
    <row r="248" spans="1:6" ht="66">
      <c r="A248" s="27" t="s">
        <v>106</v>
      </c>
      <c r="B248" s="42" t="s">
        <v>183</v>
      </c>
      <c r="C248" s="10">
        <v>1305278.16</v>
      </c>
      <c r="D248" s="14">
        <f>1305278.16-91102.07+111646-139277.81</f>
        <v>1186544.2799999998</v>
      </c>
      <c r="E248" s="14">
        <v>1186544.28</v>
      </c>
      <c r="F248" s="38">
        <f t="shared" si="25"/>
        <v>100.00000000000003</v>
      </c>
    </row>
    <row r="249" spans="1:6" ht="66">
      <c r="A249" s="27" t="s">
        <v>107</v>
      </c>
      <c r="B249" s="42" t="s">
        <v>183</v>
      </c>
      <c r="C249" s="10">
        <v>167226.07</v>
      </c>
      <c r="D249" s="14">
        <v>167226.07</v>
      </c>
      <c r="E249" s="14">
        <v>156997</v>
      </c>
      <c r="F249" s="38">
        <f t="shared" si="25"/>
        <v>93.88308892267814</v>
      </c>
    </row>
    <row r="250" spans="1:6" ht="99">
      <c r="A250" s="27" t="s">
        <v>108</v>
      </c>
      <c r="B250" s="42" t="s">
        <v>184</v>
      </c>
      <c r="C250" s="10">
        <f aca="true" t="shared" si="30" ref="C250:E251">C251</f>
        <v>1840132.8</v>
      </c>
      <c r="D250" s="14">
        <f t="shared" si="30"/>
        <v>2124463.3400000003</v>
      </c>
      <c r="E250" s="14">
        <f t="shared" si="30"/>
        <v>2124463.34</v>
      </c>
      <c r="F250" s="38">
        <f t="shared" si="25"/>
        <v>99.99999999999997</v>
      </c>
    </row>
    <row r="251" spans="1:6" ht="92.25" customHeight="1">
      <c r="A251" s="27" t="s">
        <v>109</v>
      </c>
      <c r="B251" s="42" t="s">
        <v>185</v>
      </c>
      <c r="C251" s="10">
        <f t="shared" si="30"/>
        <v>1840132.8</v>
      </c>
      <c r="D251" s="14">
        <f t="shared" si="30"/>
        <v>2124463.3400000003</v>
      </c>
      <c r="E251" s="14">
        <f t="shared" si="30"/>
        <v>2124463.34</v>
      </c>
      <c r="F251" s="38">
        <f t="shared" si="25"/>
        <v>99.99999999999997</v>
      </c>
    </row>
    <row r="252" spans="1:6" ht="92.25" customHeight="1">
      <c r="A252" s="27" t="s">
        <v>110</v>
      </c>
      <c r="B252" s="42" t="s">
        <v>185</v>
      </c>
      <c r="C252" s="10">
        <v>1840132.8</v>
      </c>
      <c r="D252" s="14">
        <f>2760199.2-920066.4+432679.46-148348.92</f>
        <v>2124463.3400000003</v>
      </c>
      <c r="E252" s="14">
        <v>2124463.34</v>
      </c>
      <c r="F252" s="38">
        <f t="shared" si="25"/>
        <v>99.99999999999997</v>
      </c>
    </row>
    <row r="253" spans="1:6" ht="82.5">
      <c r="A253" s="40" t="s">
        <v>470</v>
      </c>
      <c r="B253" s="42" t="s">
        <v>471</v>
      </c>
      <c r="C253" s="38">
        <f>C254</f>
        <v>12261.36</v>
      </c>
      <c r="D253" s="39">
        <v>0</v>
      </c>
      <c r="E253" s="39">
        <v>0</v>
      </c>
      <c r="F253" s="38">
        <v>0</v>
      </c>
    </row>
    <row r="254" spans="1:6" ht="85.5" customHeight="1">
      <c r="A254" s="40" t="s">
        <v>472</v>
      </c>
      <c r="B254" s="42" t="s">
        <v>473</v>
      </c>
      <c r="C254" s="38">
        <f>C255</f>
        <v>12261.36</v>
      </c>
      <c r="D254" s="39">
        <v>0</v>
      </c>
      <c r="E254" s="39">
        <v>0</v>
      </c>
      <c r="F254" s="38">
        <v>0</v>
      </c>
    </row>
    <row r="255" spans="1:6" ht="99">
      <c r="A255" s="40" t="s">
        <v>474</v>
      </c>
      <c r="B255" s="42" t="s">
        <v>473</v>
      </c>
      <c r="C255" s="38">
        <v>12261.36</v>
      </c>
      <c r="D255" s="39">
        <v>0</v>
      </c>
      <c r="E255" s="39">
        <v>0</v>
      </c>
      <c r="F255" s="38">
        <v>0</v>
      </c>
    </row>
    <row r="256" spans="1:6" ht="46.5" customHeight="1">
      <c r="A256" s="27" t="s">
        <v>281</v>
      </c>
      <c r="B256" s="42" t="s">
        <v>282</v>
      </c>
      <c r="C256" s="10">
        <f aca="true" t="shared" si="31" ref="C256:E257">C257</f>
        <v>310167</v>
      </c>
      <c r="D256" s="14">
        <f t="shared" si="31"/>
        <v>310167</v>
      </c>
      <c r="E256" s="14">
        <f t="shared" si="31"/>
        <v>165565.8</v>
      </c>
      <c r="F256" s="38">
        <f t="shared" si="25"/>
        <v>53.37956649159968</v>
      </c>
    </row>
    <row r="257" spans="1:6" ht="58.5" customHeight="1">
      <c r="A257" s="27" t="s">
        <v>283</v>
      </c>
      <c r="B257" s="42" t="s">
        <v>284</v>
      </c>
      <c r="C257" s="10">
        <f t="shared" si="31"/>
        <v>310167</v>
      </c>
      <c r="D257" s="14">
        <f t="shared" si="31"/>
        <v>310167</v>
      </c>
      <c r="E257" s="14">
        <f t="shared" si="31"/>
        <v>165565.8</v>
      </c>
      <c r="F257" s="38">
        <f t="shared" si="25"/>
        <v>53.37956649159968</v>
      </c>
    </row>
    <row r="258" spans="1:6" ht="66">
      <c r="A258" s="27" t="s">
        <v>285</v>
      </c>
      <c r="B258" s="42" t="s">
        <v>284</v>
      </c>
      <c r="C258" s="10">
        <v>310167</v>
      </c>
      <c r="D258" s="14">
        <v>310167</v>
      </c>
      <c r="E258" s="14">
        <v>165565.8</v>
      </c>
      <c r="F258" s="38">
        <f t="shared" si="25"/>
        <v>53.37956649159968</v>
      </c>
    </row>
    <row r="259" spans="1:6" ht="18">
      <c r="A259" s="27" t="s">
        <v>111</v>
      </c>
      <c r="B259" s="42" t="s">
        <v>72</v>
      </c>
      <c r="C259" s="10">
        <f aca="true" t="shared" si="32" ref="C259:E260">C260</f>
        <v>119056920</v>
      </c>
      <c r="D259" s="14">
        <f t="shared" si="32"/>
        <v>121280532.88</v>
      </c>
      <c r="E259" s="14">
        <f t="shared" si="32"/>
        <v>121280532.88</v>
      </c>
      <c r="F259" s="38">
        <f t="shared" si="25"/>
        <v>100</v>
      </c>
    </row>
    <row r="260" spans="1:6" ht="33">
      <c r="A260" s="27" t="s">
        <v>112</v>
      </c>
      <c r="B260" s="42" t="s">
        <v>186</v>
      </c>
      <c r="C260" s="10">
        <f t="shared" si="32"/>
        <v>119056920</v>
      </c>
      <c r="D260" s="14">
        <f t="shared" si="32"/>
        <v>121280532.88</v>
      </c>
      <c r="E260" s="14">
        <f t="shared" si="32"/>
        <v>121280532.88</v>
      </c>
      <c r="F260" s="38">
        <f t="shared" si="25"/>
        <v>100</v>
      </c>
    </row>
    <row r="261" spans="1:6" ht="33">
      <c r="A261" s="27" t="s">
        <v>113</v>
      </c>
      <c r="B261" s="42" t="s">
        <v>186</v>
      </c>
      <c r="C261" s="10">
        <v>119056920</v>
      </c>
      <c r="D261" s="14">
        <f>119056920+140600+2414704+573817-905508.12</f>
        <v>121280532.88</v>
      </c>
      <c r="E261" s="14">
        <v>121280532.88</v>
      </c>
      <c r="F261" s="38">
        <f t="shared" si="25"/>
        <v>100</v>
      </c>
    </row>
    <row r="262" spans="1:6" ht="18">
      <c r="A262" s="16" t="s">
        <v>187</v>
      </c>
      <c r="B262" s="41" t="s">
        <v>188</v>
      </c>
      <c r="C262" s="18">
        <f>C266+C269+C284</f>
        <v>8436960</v>
      </c>
      <c r="D262" s="13">
        <f>D266+D269+D284</f>
        <v>18402308.91</v>
      </c>
      <c r="E262" s="13">
        <f>E266+E269+E284</f>
        <v>16562263.57</v>
      </c>
      <c r="F262" s="18">
        <f t="shared" si="25"/>
        <v>90.00100830282172</v>
      </c>
    </row>
    <row r="263" spans="1:6" ht="99" hidden="1">
      <c r="A263" s="17" t="s">
        <v>189</v>
      </c>
      <c r="B263" s="42" t="s">
        <v>190</v>
      </c>
      <c r="C263" s="10"/>
      <c r="D263" s="14">
        <f>D264</f>
        <v>0</v>
      </c>
      <c r="E263" s="14">
        <f>E264</f>
        <v>0</v>
      </c>
      <c r="F263" s="18" t="e">
        <f t="shared" si="25"/>
        <v>#DIV/0!</v>
      </c>
    </row>
    <row r="264" spans="1:6" ht="99" hidden="1">
      <c r="A264" s="17" t="s">
        <v>191</v>
      </c>
      <c r="B264" s="42" t="s">
        <v>192</v>
      </c>
      <c r="C264" s="10"/>
      <c r="D264" s="14">
        <f>D265</f>
        <v>0</v>
      </c>
      <c r="E264" s="14">
        <f>E265</f>
        <v>0</v>
      </c>
      <c r="F264" s="18" t="e">
        <f t="shared" si="25"/>
        <v>#DIV/0!</v>
      </c>
    </row>
    <row r="265" spans="1:6" ht="99" hidden="1">
      <c r="A265" s="17" t="s">
        <v>193</v>
      </c>
      <c r="B265" s="42" t="s">
        <v>192</v>
      </c>
      <c r="C265" s="10"/>
      <c r="D265" s="14">
        <v>0</v>
      </c>
      <c r="E265" s="14">
        <v>0</v>
      </c>
      <c r="F265" s="18" t="e">
        <f t="shared" si="25"/>
        <v>#DIV/0!</v>
      </c>
    </row>
    <row r="266" spans="1:6" ht="96" customHeight="1">
      <c r="A266" s="17" t="s">
        <v>189</v>
      </c>
      <c r="B266" s="42" t="s">
        <v>291</v>
      </c>
      <c r="C266" s="10">
        <v>0</v>
      </c>
      <c r="D266" s="14">
        <f>D267</f>
        <v>388198.91000000003</v>
      </c>
      <c r="E266" s="14">
        <f>E267</f>
        <v>387573.05</v>
      </c>
      <c r="F266" s="38">
        <f t="shared" si="25"/>
        <v>99.8387785272246</v>
      </c>
    </row>
    <row r="267" spans="1:6" ht="106.5" customHeight="1">
      <c r="A267" s="17" t="s">
        <v>191</v>
      </c>
      <c r="B267" s="42" t="s">
        <v>292</v>
      </c>
      <c r="C267" s="10">
        <v>0</v>
      </c>
      <c r="D267" s="14">
        <f>D268</f>
        <v>388198.91000000003</v>
      </c>
      <c r="E267" s="14">
        <f>E268</f>
        <v>387573.05</v>
      </c>
      <c r="F267" s="38">
        <f t="shared" si="25"/>
        <v>99.8387785272246</v>
      </c>
    </row>
    <row r="268" spans="1:6" ht="99">
      <c r="A268" s="17" t="s">
        <v>193</v>
      </c>
      <c r="B268" s="42" t="s">
        <v>293</v>
      </c>
      <c r="C268" s="10">
        <v>0</v>
      </c>
      <c r="D268" s="14">
        <f>380825.28+3600+3783.63-10</f>
        <v>388198.91000000003</v>
      </c>
      <c r="E268" s="14">
        <v>387573.05</v>
      </c>
      <c r="F268" s="38">
        <f t="shared" si="25"/>
        <v>99.8387785272246</v>
      </c>
    </row>
    <row r="269" spans="1:6" ht="106.5" customHeight="1">
      <c r="A269" s="17" t="s">
        <v>221</v>
      </c>
      <c r="B269" s="42" t="s">
        <v>288</v>
      </c>
      <c r="C269" s="10">
        <f aca="true" t="shared" si="33" ref="C269:E270">C270</f>
        <v>8436960</v>
      </c>
      <c r="D269" s="14">
        <f t="shared" si="33"/>
        <v>8436960</v>
      </c>
      <c r="E269" s="14">
        <f t="shared" si="33"/>
        <v>6908999.72</v>
      </c>
      <c r="F269" s="38">
        <f t="shared" si="25"/>
        <v>81.88968206557811</v>
      </c>
    </row>
    <row r="270" spans="1:6" ht="107.25" customHeight="1">
      <c r="A270" s="17" t="s">
        <v>222</v>
      </c>
      <c r="B270" s="42" t="s">
        <v>289</v>
      </c>
      <c r="C270" s="10">
        <f t="shared" si="33"/>
        <v>8436960</v>
      </c>
      <c r="D270" s="14">
        <f t="shared" si="33"/>
        <v>8436960</v>
      </c>
      <c r="E270" s="14">
        <f t="shared" si="33"/>
        <v>6908999.72</v>
      </c>
      <c r="F270" s="38">
        <f t="shared" si="25"/>
        <v>81.88968206557811</v>
      </c>
    </row>
    <row r="271" spans="1:6" ht="102.75" customHeight="1">
      <c r="A271" s="17" t="s">
        <v>223</v>
      </c>
      <c r="B271" s="42" t="s">
        <v>290</v>
      </c>
      <c r="C271" s="10">
        <v>8436960</v>
      </c>
      <c r="D271" s="14">
        <v>8436960</v>
      </c>
      <c r="E271" s="14">
        <v>6908999.72</v>
      </c>
      <c r="F271" s="38">
        <f t="shared" si="25"/>
        <v>81.88968206557811</v>
      </c>
    </row>
    <row r="272" spans="1:6" ht="66" hidden="1">
      <c r="A272" s="17" t="s">
        <v>212</v>
      </c>
      <c r="B272" s="42" t="s">
        <v>213</v>
      </c>
      <c r="C272" s="10"/>
      <c r="D272" s="14">
        <f aca="true" t="shared" si="34" ref="D272:E274">D273</f>
        <v>0</v>
      </c>
      <c r="E272" s="14">
        <f t="shared" si="34"/>
        <v>0</v>
      </c>
      <c r="F272" s="18" t="e">
        <f t="shared" si="25"/>
        <v>#DIV/0!</v>
      </c>
    </row>
    <row r="273" spans="1:6" ht="102.75" customHeight="1" hidden="1">
      <c r="A273" s="17" t="s">
        <v>214</v>
      </c>
      <c r="B273" s="42" t="s">
        <v>215</v>
      </c>
      <c r="C273" s="10"/>
      <c r="D273" s="14">
        <f t="shared" si="34"/>
        <v>0</v>
      </c>
      <c r="E273" s="14">
        <f t="shared" si="34"/>
        <v>0</v>
      </c>
      <c r="F273" s="18" t="e">
        <f aca="true" t="shared" si="35" ref="F273:F297">E273/D273*100</f>
        <v>#DIV/0!</v>
      </c>
    </row>
    <row r="274" spans="1:6" ht="66" hidden="1">
      <c r="A274" s="17" t="s">
        <v>216</v>
      </c>
      <c r="B274" s="42" t="s">
        <v>217</v>
      </c>
      <c r="C274" s="10"/>
      <c r="D274" s="14">
        <f t="shared" si="34"/>
        <v>0</v>
      </c>
      <c r="E274" s="14">
        <f t="shared" si="34"/>
        <v>0</v>
      </c>
      <c r="F274" s="18" t="e">
        <f t="shared" si="35"/>
        <v>#DIV/0!</v>
      </c>
    </row>
    <row r="275" spans="1:6" ht="66.75" customHeight="1" hidden="1">
      <c r="A275" s="17" t="s">
        <v>218</v>
      </c>
      <c r="B275" s="42" t="s">
        <v>217</v>
      </c>
      <c r="C275" s="10"/>
      <c r="D275" s="14">
        <v>0</v>
      </c>
      <c r="E275" s="14">
        <v>0</v>
      </c>
      <c r="F275" s="18" t="e">
        <f t="shared" si="35"/>
        <v>#DIV/0!</v>
      </c>
    </row>
    <row r="276" spans="1:6" ht="48.75" customHeight="1" hidden="1">
      <c r="A276" s="16" t="s">
        <v>194</v>
      </c>
      <c r="B276" s="41" t="s">
        <v>477</v>
      </c>
      <c r="C276" s="18"/>
      <c r="D276" s="13">
        <f aca="true" t="shared" si="36" ref="D276:E278">D277</f>
        <v>0</v>
      </c>
      <c r="E276" s="13">
        <f t="shared" si="36"/>
        <v>0</v>
      </c>
      <c r="F276" s="18" t="e">
        <f t="shared" si="35"/>
        <v>#DIV/0!</v>
      </c>
    </row>
    <row r="277" spans="1:6" ht="48" customHeight="1" hidden="1">
      <c r="A277" s="17" t="s">
        <v>195</v>
      </c>
      <c r="B277" s="42" t="s">
        <v>478</v>
      </c>
      <c r="C277" s="10"/>
      <c r="D277" s="14">
        <f t="shared" si="36"/>
        <v>0</v>
      </c>
      <c r="E277" s="14">
        <f t="shared" si="36"/>
        <v>0</v>
      </c>
      <c r="F277" s="18" t="e">
        <f t="shared" si="35"/>
        <v>#DIV/0!</v>
      </c>
    </row>
    <row r="278" spans="1:6" ht="82.5" hidden="1">
      <c r="A278" s="17" t="s">
        <v>196</v>
      </c>
      <c r="B278" s="42" t="s">
        <v>479</v>
      </c>
      <c r="C278" s="10"/>
      <c r="D278" s="14">
        <f t="shared" si="36"/>
        <v>0</v>
      </c>
      <c r="E278" s="14">
        <f t="shared" si="36"/>
        <v>0</v>
      </c>
      <c r="F278" s="18" t="e">
        <f t="shared" si="35"/>
        <v>#DIV/0!</v>
      </c>
    </row>
    <row r="279" spans="1:6" ht="82.5" hidden="1">
      <c r="A279" s="17" t="s">
        <v>197</v>
      </c>
      <c r="B279" s="42" t="s">
        <v>479</v>
      </c>
      <c r="C279" s="10"/>
      <c r="D279" s="14">
        <v>0</v>
      </c>
      <c r="E279" s="14">
        <v>0</v>
      </c>
      <c r="F279" s="18" t="e">
        <f t="shared" si="35"/>
        <v>#DIV/0!</v>
      </c>
    </row>
    <row r="280" spans="1:6" ht="99" hidden="1">
      <c r="A280" s="16" t="s">
        <v>203</v>
      </c>
      <c r="B280" s="41" t="s">
        <v>204</v>
      </c>
      <c r="C280" s="18"/>
      <c r="D280" s="13">
        <f>D281</f>
        <v>0</v>
      </c>
      <c r="E280" s="13">
        <f>E281</f>
        <v>0</v>
      </c>
      <c r="F280" s="18" t="e">
        <f t="shared" si="35"/>
        <v>#DIV/0!</v>
      </c>
    </row>
    <row r="281" spans="1:6" ht="82.5" hidden="1">
      <c r="A281" s="17" t="s">
        <v>205</v>
      </c>
      <c r="B281" s="42" t="s">
        <v>206</v>
      </c>
      <c r="C281" s="10"/>
      <c r="D281" s="14">
        <f>D282</f>
        <v>0</v>
      </c>
      <c r="E281" s="14">
        <f>E282</f>
        <v>0</v>
      </c>
      <c r="F281" s="18" t="e">
        <f t="shared" si="35"/>
        <v>#DIV/0!</v>
      </c>
    </row>
    <row r="282" spans="1:6" ht="99" hidden="1">
      <c r="A282" s="17" t="s">
        <v>207</v>
      </c>
      <c r="B282" s="42" t="s">
        <v>208</v>
      </c>
      <c r="C282" s="10"/>
      <c r="D282" s="14">
        <f>SUM(D283:D283)</f>
        <v>0</v>
      </c>
      <c r="E282" s="14">
        <f>SUM(E283:E283)</f>
        <v>0</v>
      </c>
      <c r="F282" s="18" t="e">
        <f t="shared" si="35"/>
        <v>#DIV/0!</v>
      </c>
    </row>
    <row r="283" spans="1:6" ht="82.5" hidden="1">
      <c r="A283" s="17" t="s">
        <v>209</v>
      </c>
      <c r="B283" s="42" t="s">
        <v>210</v>
      </c>
      <c r="C283" s="10"/>
      <c r="D283" s="14">
        <v>0</v>
      </c>
      <c r="E283" s="14">
        <v>0</v>
      </c>
      <c r="F283" s="18" t="e">
        <f t="shared" si="35"/>
        <v>#DIV/0!</v>
      </c>
    </row>
    <row r="284" spans="1:6" ht="38.25" customHeight="1">
      <c r="A284" s="17" t="s">
        <v>390</v>
      </c>
      <c r="B284" s="42" t="s">
        <v>391</v>
      </c>
      <c r="C284" s="10">
        <v>0</v>
      </c>
      <c r="D284" s="14">
        <f>D285</f>
        <v>9577150</v>
      </c>
      <c r="E284" s="14">
        <f>E285</f>
        <v>9265690.8</v>
      </c>
      <c r="F284" s="38">
        <f t="shared" si="35"/>
        <v>96.74789264029488</v>
      </c>
    </row>
    <row r="285" spans="1:6" ht="69" customHeight="1">
      <c r="A285" s="17" t="s">
        <v>392</v>
      </c>
      <c r="B285" s="42" t="s">
        <v>217</v>
      </c>
      <c r="C285" s="10">
        <v>0</v>
      </c>
      <c r="D285" s="14">
        <f>D287+D286</f>
        <v>9577150</v>
      </c>
      <c r="E285" s="14">
        <f>E287+E286</f>
        <v>9265690.8</v>
      </c>
      <c r="F285" s="38">
        <f t="shared" si="35"/>
        <v>96.74789264029488</v>
      </c>
    </row>
    <row r="286" spans="1:6" ht="62.25" customHeight="1">
      <c r="A286" s="17" t="s">
        <v>401</v>
      </c>
      <c r="B286" s="42" t="s">
        <v>217</v>
      </c>
      <c r="C286" s="10">
        <v>0</v>
      </c>
      <c r="D286" s="14">
        <v>781200</v>
      </c>
      <c r="E286" s="14">
        <v>781200</v>
      </c>
      <c r="F286" s="38">
        <f t="shared" si="35"/>
        <v>100</v>
      </c>
    </row>
    <row r="287" spans="1:6" ht="55.5" customHeight="1">
      <c r="A287" s="17" t="s">
        <v>393</v>
      </c>
      <c r="B287" s="42" t="s">
        <v>217</v>
      </c>
      <c r="C287" s="10">
        <v>0</v>
      </c>
      <c r="D287" s="14">
        <v>8795950</v>
      </c>
      <c r="E287" s="14">
        <v>8484490.8</v>
      </c>
      <c r="F287" s="38">
        <f t="shared" si="35"/>
        <v>96.45906127251747</v>
      </c>
    </row>
    <row r="288" spans="1:6" ht="42" customHeight="1">
      <c r="A288" s="16" t="s">
        <v>296</v>
      </c>
      <c r="B288" s="41" t="s">
        <v>297</v>
      </c>
      <c r="C288" s="18">
        <v>0</v>
      </c>
      <c r="D288" s="13">
        <f aca="true" t="shared" si="37" ref="D288:E290">D289</f>
        <v>93000</v>
      </c>
      <c r="E288" s="13">
        <f t="shared" si="37"/>
        <v>93000</v>
      </c>
      <c r="F288" s="18">
        <f t="shared" si="35"/>
        <v>100</v>
      </c>
    </row>
    <row r="289" spans="1:6" ht="42" customHeight="1">
      <c r="A289" s="17" t="s">
        <v>195</v>
      </c>
      <c r="B289" s="42" t="s">
        <v>295</v>
      </c>
      <c r="C289" s="10">
        <v>0</v>
      </c>
      <c r="D289" s="14">
        <f t="shared" si="37"/>
        <v>93000</v>
      </c>
      <c r="E289" s="14">
        <f t="shared" si="37"/>
        <v>93000</v>
      </c>
      <c r="F289" s="38">
        <f t="shared" si="35"/>
        <v>100</v>
      </c>
    </row>
    <row r="290" spans="1:6" ht="69" customHeight="1">
      <c r="A290" s="17" t="s">
        <v>196</v>
      </c>
      <c r="B290" s="42" t="s">
        <v>294</v>
      </c>
      <c r="C290" s="10">
        <v>0</v>
      </c>
      <c r="D290" s="14">
        <f t="shared" si="37"/>
        <v>93000</v>
      </c>
      <c r="E290" s="14">
        <f t="shared" si="37"/>
        <v>93000</v>
      </c>
      <c r="F290" s="38">
        <f t="shared" si="35"/>
        <v>100</v>
      </c>
    </row>
    <row r="291" spans="1:6" ht="75.75" customHeight="1">
      <c r="A291" s="17" t="s">
        <v>197</v>
      </c>
      <c r="B291" s="42" t="s">
        <v>294</v>
      </c>
      <c r="C291" s="10">
        <v>0</v>
      </c>
      <c r="D291" s="14">
        <f>50000+43000</f>
        <v>93000</v>
      </c>
      <c r="E291" s="14">
        <v>93000</v>
      </c>
      <c r="F291" s="38">
        <f t="shared" si="35"/>
        <v>100</v>
      </c>
    </row>
    <row r="292" spans="1:6" ht="89.25" customHeight="1">
      <c r="A292" s="16" t="s">
        <v>298</v>
      </c>
      <c r="B292" s="41" t="s">
        <v>204</v>
      </c>
      <c r="C292" s="18">
        <v>0</v>
      </c>
      <c r="D292" s="13">
        <f>D293</f>
        <v>-211569.61</v>
      </c>
      <c r="E292" s="13">
        <f>E293</f>
        <v>-211569.61</v>
      </c>
      <c r="F292" s="18">
        <f t="shared" si="35"/>
        <v>100</v>
      </c>
    </row>
    <row r="293" spans="1:6" ht="71.25" customHeight="1">
      <c r="A293" s="17" t="s">
        <v>205</v>
      </c>
      <c r="B293" s="42" t="s">
        <v>299</v>
      </c>
      <c r="C293" s="10">
        <v>0</v>
      </c>
      <c r="D293" s="14">
        <f>D294</f>
        <v>-211569.61</v>
      </c>
      <c r="E293" s="14">
        <f>E294</f>
        <v>-211569.61</v>
      </c>
      <c r="F293" s="38">
        <f t="shared" si="35"/>
        <v>100</v>
      </c>
    </row>
    <row r="294" spans="1:6" ht="72" customHeight="1">
      <c r="A294" s="17" t="s">
        <v>207</v>
      </c>
      <c r="B294" s="42" t="s">
        <v>208</v>
      </c>
      <c r="C294" s="10">
        <v>0</v>
      </c>
      <c r="D294" s="14">
        <f>SUM(D295:D296)</f>
        <v>-211569.61</v>
      </c>
      <c r="E294" s="14">
        <f>SUM(E295:E296)</f>
        <v>-211569.61</v>
      </c>
      <c r="F294" s="38">
        <f t="shared" si="35"/>
        <v>100</v>
      </c>
    </row>
    <row r="295" spans="1:6" ht="72" customHeight="1">
      <c r="A295" s="17" t="s">
        <v>209</v>
      </c>
      <c r="B295" s="42" t="s">
        <v>208</v>
      </c>
      <c r="C295" s="10">
        <v>0</v>
      </c>
      <c r="D295" s="14">
        <v>-9141.11</v>
      </c>
      <c r="E295" s="14">
        <v>-9141.11</v>
      </c>
      <c r="F295" s="38">
        <f t="shared" si="35"/>
        <v>100</v>
      </c>
    </row>
    <row r="296" spans="1:6" ht="76.5" customHeight="1">
      <c r="A296" s="17" t="s">
        <v>211</v>
      </c>
      <c r="B296" s="42" t="s">
        <v>208</v>
      </c>
      <c r="C296" s="10">
        <v>0</v>
      </c>
      <c r="D296" s="14">
        <v>-202428.5</v>
      </c>
      <c r="E296" s="14">
        <v>-202428.5</v>
      </c>
      <c r="F296" s="38">
        <f t="shared" si="35"/>
        <v>100</v>
      </c>
    </row>
    <row r="297" spans="1:6" ht="36" customHeight="1">
      <c r="A297" s="51" t="s">
        <v>124</v>
      </c>
      <c r="B297" s="52"/>
      <c r="C297" s="36">
        <f>C16+C207</f>
        <v>356293616.03000003</v>
      </c>
      <c r="D297" s="18">
        <f>D16+D207</f>
        <v>389594749.89</v>
      </c>
      <c r="E297" s="18">
        <f>E16+E207</f>
        <v>388866986.91999996</v>
      </c>
      <c r="F297" s="18">
        <f t="shared" si="35"/>
        <v>99.81320000585082</v>
      </c>
    </row>
    <row r="298" spans="4:6" ht="18">
      <c r="D298" s="4"/>
      <c r="F298" s="4"/>
    </row>
    <row r="299" ht="18">
      <c r="D299" s="8"/>
    </row>
    <row r="301" ht="18">
      <c r="D301" s="8"/>
    </row>
    <row r="302" ht="18">
      <c r="E302" s="9"/>
    </row>
  </sheetData>
  <sheetProtection/>
  <mergeCells count="16">
    <mergeCell ref="D3:F3"/>
    <mergeCell ref="D4:F4"/>
    <mergeCell ref="D5:F5"/>
    <mergeCell ref="D6:F6"/>
    <mergeCell ref="D7:F7"/>
    <mergeCell ref="D1:F1"/>
    <mergeCell ref="D2:F2"/>
    <mergeCell ref="D8:F8"/>
    <mergeCell ref="A297:B297"/>
    <mergeCell ref="A13:A14"/>
    <mergeCell ref="B13:B14"/>
    <mergeCell ref="A11:F11"/>
    <mergeCell ref="A12:F12"/>
    <mergeCell ref="E13:E14"/>
    <mergeCell ref="F13:F14"/>
    <mergeCell ref="C13:D13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Рыбина</cp:lastModifiedBy>
  <cp:lastPrinted>2020-10-22T12:43:00Z</cp:lastPrinted>
  <dcterms:created xsi:type="dcterms:W3CDTF">2009-08-21T08:27:43Z</dcterms:created>
  <dcterms:modified xsi:type="dcterms:W3CDTF">2022-02-21T12:20:53Z</dcterms:modified>
  <cp:category/>
  <cp:version/>
  <cp:contentType/>
  <cp:contentStatus/>
</cp:coreProperties>
</file>