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9 Вед 2022" sheetId="3" r:id="rId1"/>
  </sheets>
  <definedNames>
    <definedName name="_xlnm.Print_Titles" localSheetId="0">'Прил.9 Вед 2022'!$15:$15</definedName>
  </definedNames>
  <calcPr calcId="152511"/>
</workbook>
</file>

<file path=xl/calcChain.xml><?xml version="1.0" encoding="utf-8"?>
<calcChain xmlns="http://schemas.openxmlformats.org/spreadsheetml/2006/main">
  <c r="H309" i="3" l="1"/>
  <c r="H305" i="3"/>
  <c r="H302" i="3"/>
  <c r="H301" i="3"/>
  <c r="H288" i="3"/>
  <c r="H287" i="3"/>
  <c r="H284" i="3"/>
  <c r="H280" i="3"/>
  <c r="H279" i="3"/>
  <c r="H278" i="3"/>
  <c r="H272" i="3"/>
  <c r="H269" i="3"/>
  <c r="H267" i="3"/>
  <c r="H256" i="3"/>
  <c r="H255" i="3"/>
  <c r="H252" i="3"/>
  <c r="H249" i="3"/>
  <c r="H248" i="3"/>
  <c r="H246" i="3"/>
  <c r="H239" i="3"/>
  <c r="H236" i="3"/>
  <c r="H235" i="3"/>
  <c r="H234" i="3" s="1"/>
  <c r="H221" i="3"/>
  <c r="H219" i="3"/>
  <c r="H210" i="3"/>
  <c r="H206" i="3"/>
  <c r="H205" i="3"/>
  <c r="H198" i="3"/>
  <c r="H192" i="3"/>
  <c r="H186" i="3"/>
  <c r="H185" i="3"/>
  <c r="H184" i="3"/>
  <c r="H183" i="3"/>
  <c r="H181" i="3"/>
  <c r="H178" i="3"/>
  <c r="H176" i="3"/>
  <c r="H175" i="3"/>
  <c r="H173" i="3"/>
  <c r="H164" i="3"/>
  <c r="H151" i="3"/>
  <c r="H148" i="3"/>
  <c r="H147" i="3"/>
  <c r="H146" i="3"/>
  <c r="H145" i="3"/>
  <c r="H144" i="3"/>
  <c r="H143" i="3"/>
  <c r="H140" i="3"/>
  <c r="H138" i="3"/>
  <c r="H136" i="3"/>
  <c r="H134" i="3"/>
  <c r="H133" i="3"/>
  <c r="H132" i="3"/>
  <c r="H131" i="3"/>
  <c r="H130" i="3"/>
  <c r="H127" i="3"/>
  <c r="H125" i="3"/>
  <c r="H123" i="3"/>
  <c r="H122" i="3"/>
  <c r="H121" i="3"/>
  <c r="H120" i="3"/>
  <c r="H119" i="3"/>
  <c r="H116" i="3"/>
  <c r="H107" i="3"/>
  <c r="H102" i="3"/>
  <c r="H97" i="3"/>
  <c r="H95" i="3"/>
  <c r="H92" i="3"/>
  <c r="H90" i="3"/>
  <c r="H89" i="3"/>
  <c r="H86" i="3"/>
  <c r="H83" i="3"/>
  <c r="H76" i="3"/>
  <c r="H74" i="3"/>
  <c r="H72" i="3"/>
  <c r="H69" i="3"/>
  <c r="H68" i="3"/>
  <c r="H67" i="3"/>
  <c r="H66" i="3"/>
  <c r="H59" i="3"/>
  <c r="H54" i="3"/>
  <c r="H37" i="3"/>
  <c r="H36" i="3"/>
  <c r="H35" i="3"/>
  <c r="H34" i="3"/>
  <c r="H33" i="3"/>
  <c r="H30" i="3"/>
  <c r="H27" i="3"/>
  <c r="H25" i="3"/>
  <c r="H24" i="3"/>
  <c r="H22" i="3"/>
  <c r="H16" i="3"/>
  <c r="H310" i="3" l="1"/>
  <c r="I310" i="3" s="1"/>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270" i="3"/>
  <c r="I269" i="3"/>
  <c r="I258" i="3"/>
  <c r="I259" i="3"/>
  <c r="I260" i="3"/>
  <c r="I261" i="3"/>
  <c r="I262" i="3"/>
  <c r="I263" i="3"/>
  <c r="I264" i="3"/>
  <c r="I265" i="3"/>
  <c r="I266" i="3"/>
  <c r="I267" i="3"/>
  <c r="I268" i="3"/>
  <c r="I257" i="3"/>
  <c r="I256" i="3"/>
  <c r="I236" i="3"/>
  <c r="I237" i="3"/>
  <c r="I238" i="3"/>
  <c r="I239" i="3"/>
  <c r="I240" i="3"/>
  <c r="I241" i="3"/>
  <c r="I242" i="3"/>
  <c r="I243" i="3"/>
  <c r="I244" i="3"/>
  <c r="I245" i="3"/>
  <c r="I246" i="3"/>
  <c r="I247" i="3"/>
  <c r="I248" i="3"/>
  <c r="I249" i="3"/>
  <c r="I250" i="3"/>
  <c r="I251" i="3"/>
  <c r="I252" i="3"/>
  <c r="I253" i="3"/>
  <c r="I254" i="3"/>
  <c r="I255" i="3"/>
  <c r="I235" i="3"/>
  <c r="I234"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123" i="3"/>
  <c r="I122" i="3"/>
  <c r="I121" i="3"/>
  <c r="I118" i="3"/>
  <c r="I119" i="3"/>
  <c r="I120" i="3"/>
  <c r="I117" i="3"/>
  <c r="I116" i="3"/>
  <c r="I109" i="3"/>
  <c r="I110" i="3"/>
  <c r="I111" i="3"/>
  <c r="I112" i="3"/>
  <c r="I113" i="3"/>
  <c r="I114" i="3"/>
  <c r="I115" i="3"/>
  <c r="I108" i="3"/>
  <c r="I10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7" i="3"/>
  <c r="I16" i="3"/>
  <c r="G172" i="3" l="1"/>
  <c r="G171" i="3" l="1"/>
  <c r="G239" i="3" l="1"/>
  <c r="G296" i="3" l="1"/>
  <c r="G194" i="3"/>
  <c r="G131" i="3" l="1"/>
  <c r="G59" i="3"/>
  <c r="G57" i="3"/>
  <c r="G197" i="3" l="1"/>
  <c r="G142" i="3"/>
  <c r="G101" i="3" l="1"/>
  <c r="G60" i="3"/>
  <c r="G36" i="3"/>
  <c r="G21" i="3"/>
  <c r="G271" i="3" l="1"/>
  <c r="G307" i="3"/>
  <c r="G266" i="3"/>
  <c r="G265" i="3"/>
  <c r="G264" i="3"/>
  <c r="G263" i="3"/>
  <c r="G261" i="3"/>
  <c r="G259" i="3"/>
  <c r="G255" i="3"/>
  <c r="G246" i="3"/>
  <c r="G245" i="3"/>
  <c r="G236" i="3"/>
  <c r="G235" i="3"/>
  <c r="G132" i="3"/>
  <c r="G198" i="3"/>
  <c r="G185" i="3"/>
  <c r="G144" i="3"/>
  <c r="G143" i="3"/>
  <c r="G125" i="3"/>
  <c r="G74" i="3"/>
  <c r="G72" i="3"/>
  <c r="G66" i="3"/>
  <c r="G25" i="3" l="1"/>
  <c r="G24" i="3"/>
  <c r="G20" i="3"/>
  <c r="G19" i="3"/>
  <c r="G17" i="3"/>
  <c r="G254" i="3" l="1"/>
  <c r="G252" i="3"/>
  <c r="G300" i="3" l="1"/>
  <c r="G292" i="3"/>
  <c r="G290" i="3"/>
  <c r="G287" i="3"/>
  <c r="G284" i="3"/>
  <c r="G273" i="3"/>
  <c r="G270" i="3"/>
  <c r="G153" i="3"/>
  <c r="G219" i="3"/>
  <c r="G218" i="3"/>
  <c r="G154" i="3"/>
  <c r="G150" i="3"/>
  <c r="G149" i="3"/>
  <c r="G139" i="3"/>
  <c r="G138" i="3"/>
  <c r="G137" i="3"/>
  <c r="G134" i="3"/>
  <c r="G123" i="3"/>
  <c r="G118" i="3"/>
  <c r="G104" i="3"/>
  <c r="G103" i="3"/>
  <c r="G97" i="3"/>
  <c r="G96" i="3"/>
  <c r="G84" i="3"/>
  <c r="G83" i="3"/>
  <c r="G80" i="3"/>
  <c r="G39" i="3"/>
  <c r="G35" i="3" l="1"/>
  <c r="G34" i="3"/>
  <c r="G299" i="3" l="1"/>
  <c r="G277" i="3"/>
  <c r="G217" i="3" l="1"/>
  <c r="G192" i="3"/>
  <c r="G163" i="3"/>
  <c r="G145" i="3"/>
  <c r="G121" i="3"/>
  <c r="G76" i="3"/>
  <c r="G40" i="3"/>
  <c r="G184" i="3" l="1"/>
  <c r="G183" i="3"/>
  <c r="G176" i="3" l="1"/>
  <c r="G175" i="3"/>
  <c r="G174" i="3"/>
  <c r="G173" i="3"/>
  <c r="G170" i="3"/>
  <c r="G169" i="3"/>
  <c r="G152" i="3"/>
  <c r="G151" i="3"/>
  <c r="G148" i="3"/>
  <c r="G147" i="3"/>
  <c r="G136" i="3"/>
  <c r="G281" i="3" l="1"/>
  <c r="G249" i="3"/>
  <c r="G248" i="3"/>
  <c r="G243" i="3"/>
  <c r="G226" i="3"/>
  <c r="G146" i="3"/>
  <c r="G140" i="3"/>
  <c r="G133" i="3"/>
  <c r="G120" i="3"/>
  <c r="G119" i="3"/>
  <c r="G69" i="3"/>
  <c r="G54" i="3"/>
  <c r="G28" i="3"/>
  <c r="G305" i="3" l="1"/>
  <c r="G301" i="3"/>
  <c r="G289" i="3"/>
  <c r="G288" i="3"/>
  <c r="G272" i="3"/>
  <c r="G309" i="3" l="1"/>
  <c r="G279" i="3"/>
  <c r="G278" i="3"/>
  <c r="G274" i="3"/>
  <c r="G260" i="3"/>
  <c r="G258" i="3"/>
  <c r="G242" i="3"/>
  <c r="G181" i="3"/>
  <c r="G164" i="3"/>
  <c r="G127" i="3"/>
  <c r="G126" i="3"/>
  <c r="G117" i="3"/>
  <c r="G113" i="3"/>
  <c r="G109" i="3"/>
  <c r="G102" i="3"/>
  <c r="G95" i="3"/>
  <c r="G33" i="3"/>
  <c r="G30" i="3"/>
  <c r="G22" i="3"/>
  <c r="G267" i="3" l="1"/>
  <c r="G256" i="3" s="1"/>
  <c r="G280" i="3" l="1"/>
  <c r="G286" i="3" l="1"/>
  <c r="G238" i="3"/>
  <c r="G92" i="3" l="1"/>
  <c r="G293" i="3" l="1"/>
  <c r="G206" i="3"/>
  <c r="G205" i="3"/>
  <c r="G283" i="3" l="1"/>
  <c r="G94" i="3" l="1"/>
  <c r="G90" i="3"/>
  <c r="G304" i="3" l="1"/>
  <c r="G227" i="3" l="1"/>
  <c r="G221" i="3"/>
  <c r="G210" i="3"/>
  <c r="G130" i="3"/>
  <c r="G37" i="3"/>
  <c r="G68" i="3"/>
  <c r="G107" i="3" l="1"/>
  <c r="G178" i="3"/>
  <c r="G89" i="3" l="1"/>
  <c r="G67" i="3"/>
  <c r="G27" i="3"/>
  <c r="G186" i="3" l="1"/>
  <c r="G41" i="3" l="1"/>
  <c r="G87" i="3" l="1"/>
  <c r="G122" i="3" l="1"/>
  <c r="G302" i="3" l="1"/>
  <c r="G269" i="3" l="1"/>
  <c r="G234" i="3" l="1"/>
  <c r="G86" i="3"/>
  <c r="G16" i="3"/>
  <c r="G116" i="3" l="1"/>
  <c r="G310" i="3" l="1"/>
</calcChain>
</file>

<file path=xl/sharedStrings.xml><?xml version="1.0" encoding="utf-8"?>
<sst xmlns="http://schemas.openxmlformats.org/spreadsheetml/2006/main" count="1738" uniqueCount="545">
  <si>
    <t>к решению Совета Южского</t>
  </si>
  <si>
    <t>муниципального района</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</si>
  <si>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</si>
  <si>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</si>
  <si>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</si>
  <si>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</si>
  <si>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</si>
  <si>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</si>
  <si>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</si>
  <si>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</si>
  <si>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</si>
  <si>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</si>
  <si>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</si>
  <si>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</si>
  <si>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</si>
  <si>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</si>
  <si>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</si>
  <si>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</si>
  <si>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</si>
  <si>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</si>
  <si>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</si>
  <si>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</si>
  <si>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</si>
  <si>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</si>
  <si>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</si>
  <si>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</si>
  <si>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</si>
  <si>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</si>
  <si>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</si>
  <si>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</si>
  <si>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</si>
  <si>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</si>
  <si>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</si>
  <si>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</si>
  <si>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</si>
  <si>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</si>
  <si>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</si>
  <si>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</si>
  <si>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</si>
  <si>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</si>
  <si>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</si>
  <si>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</si>
  <si>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</si>
  <si>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</si>
  <si>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</si>
  <si>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</si>
  <si>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</si>
  <si>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</si>
  <si>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</si>
  <si>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</si>
  <si>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</si>
  <si>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</si>
  <si>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</si>
  <si>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</si>
  <si>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</si>
  <si>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</si>
  <si>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</si>
  <si>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</si>
  <si>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</si>
  <si>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</si>
  <si>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</si>
  <si>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</si>
  <si>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</si>
  <si>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</si>
  <si>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</si>
  <si>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</si>
  <si>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</si>
  <si>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</si>
  <si>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</si>
  <si>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</si>
  <si>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</si>
  <si>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</si>
  <si>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</si>
  <si>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</si>
  <si>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</si>
  <si>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</si>
  <si>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</si>
  <si>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</si>
  <si>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</si>
  <si>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</si>
  <si>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</si>
  <si>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</si>
  <si>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</si>
  <si>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</si>
  <si>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</si>
  <si>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</si>
  <si>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</si>
  <si>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</si>
  <si>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</si>
  <si>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</si>
  <si>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</si>
  <si>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</si>
  <si>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</si>
  <si>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</si>
  <si>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</si>
  <si>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</si>
  <si>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</si>
  <si>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</si>
  <si>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</si>
  <si>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</si>
  <si>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</si>
  <si>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</si>
  <si>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</si>
  <si>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</si>
  <si>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</si>
  <si>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</si>
  <si>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</si>
  <si>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</si>
  <si>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</si>
  <si>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</si>
  <si>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</si>
  <si>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</si>
  <si>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</si>
  <si>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</si>
  <si>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</si>
  <si>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</si>
  <si>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</si>
  <si>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</si>
  <si>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</si>
  <si>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</si>
  <si>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</si>
  <si>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</si>
  <si>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</si>
  <si>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</si>
  <si>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</si>
  <si>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</si>
  <si>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</si>
  <si>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</si>
  <si>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</si>
  <si>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</si>
  <si>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</si>
  <si>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</si>
  <si>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</si>
  <si>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</si>
  <si>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</si>
  <si>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</si>
  <si>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</si>
  <si>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</si>
  <si>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</si>
  <si>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</si>
  <si>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</si>
  <si>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</si>
  <si>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</si>
  <si>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</si>
  <si>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</si>
  <si>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</si>
  <si>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</si>
  <si>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</si>
  <si>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</si>
  <si>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</si>
  <si>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</si>
  <si>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</si>
  <si>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</si>
  <si>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</si>
  <si>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</si>
  <si>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</si>
  <si>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</si>
  <si>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</si>
  <si>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</si>
  <si>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</si>
  <si>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</si>
  <si>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</si>
  <si>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</si>
  <si>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</si>
  <si>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</si>
  <si>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</si>
  <si>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</si>
  <si>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</si>
  <si>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</si>
  <si>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</si>
  <si>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</si>
  <si>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</si>
  <si>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</si>
  <si>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</si>
  <si>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</si>
  <si>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</si>
  <si>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</si>
  <si>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</si>
  <si>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</si>
  <si>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</si>
  <si>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</si>
  <si>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</si>
  <si>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</si>
  <si>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</si>
  <si>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</si>
  <si>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</si>
  <si>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</si>
  <si>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</si>
  <si>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</si>
  <si>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</si>
  <si>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</si>
  <si>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</si>
  <si>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</si>
  <si>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</si>
  <si>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</si>
  <si>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</si>
  <si>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</si>
  <si>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</si>
  <si>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</si>
  <si>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</si>
  <si>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</si>
  <si>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</si>
  <si>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</si>
  <si>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</si>
  <si>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</si>
  <si>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</si>
  <si>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</si>
  <si>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</si>
  <si>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</si>
  <si>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</si>
  <si>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</si>
  <si>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</si>
  <si>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</si>
  <si>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</si>
  <si>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</si>
  <si>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</si>
  <si>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</si>
  <si>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</si>
  <si>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</si>
  <si>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</si>
  <si>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</si>
  <si>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</si>
  <si>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</si>
  <si>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</si>
  <si>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</si>
  <si>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</si>
  <si>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</si>
  <si>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</si>
  <si>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</si>
  <si>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</si>
  <si>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</si>
  <si>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</si>
  <si>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</si>
  <si>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</si>
  <si>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</si>
  <si>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</si>
  <si>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</si>
  <si>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</si>
  <si>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</si>
  <si>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</si>
  <si>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</si>
  <si>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</si>
  <si>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</si>
  <si>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</si>
  <si>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</si>
  <si>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</si>
  <si>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</si>
  <si>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</si>
  <si>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</si>
  <si>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</si>
  <si>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</si>
  <si>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</si>
  <si>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</si>
  <si>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</si>
  <si>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</si>
  <si>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</si>
  <si>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</si>
  <si>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</si>
  <si>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</si>
  <si>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</si>
  <si>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</si>
  <si>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</si>
  <si>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</si>
  <si>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</si>
  <si>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</si>
  <si>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</si>
  <si>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</si>
  <si>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</si>
  <si>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</si>
  <si>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01 2 02 22870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</si>
  <si>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</si>
  <si>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</si>
  <si>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</si>
  <si>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</si>
  <si>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</si>
  <si>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</si>
  <si>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</si>
  <si>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</si>
  <si>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</si>
  <si>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</si>
  <si>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</si>
  <si>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</si>
  <si>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</si>
  <si>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</si>
  <si>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</si>
  <si>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</si>
  <si>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</si>
  <si>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</si>
  <si>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</si>
  <si>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</si>
  <si>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</si>
  <si>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</si>
  <si>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</si>
  <si>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</si>
  <si>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</si>
  <si>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</si>
  <si>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</si>
  <si>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</si>
  <si>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</si>
  <si>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</si>
  <si>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</si>
  <si>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</si>
  <si>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</si>
  <si>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</si>
  <si>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</si>
  <si>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</si>
  <si>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</si>
  <si>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</si>
  <si>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</si>
  <si>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2 E2 50970</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</si>
  <si>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</si>
  <si>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</si>
  <si>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</si>
  <si>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</si>
  <si>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</si>
  <si>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</si>
  <si>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</si>
  <si>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</si>
  <si>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</si>
  <si>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</si>
  <si>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</si>
  <si>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</si>
  <si>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</si>
  <si>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</si>
  <si>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</si>
  <si>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</si>
  <si>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</si>
  <si>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</si>
  <si>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</si>
  <si>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</si>
  <si>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</si>
  <si>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</si>
  <si>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</si>
  <si>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</si>
  <si>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</si>
  <si>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</si>
  <si>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</si>
  <si>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</si>
  <si>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</si>
  <si>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</si>
  <si>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</si>
  <si>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</si>
  <si>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01 2 02 23690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</si>
  <si>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</si>
  <si>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</si>
  <si>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</si>
  <si>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</si>
  <si>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</si>
  <si>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</si>
  <si>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</si>
  <si>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</si>
  <si>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</si>
  <si>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</si>
  <si>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</si>
  <si>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</si>
  <si>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</si>
  <si>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</si>
  <si>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</si>
  <si>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</si>
  <si>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</si>
  <si>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</si>
  <si>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</si>
  <si>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</si>
  <si>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</si>
  <si>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</si>
  <si>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</si>
  <si>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</si>
  <si>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</si>
  <si>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</si>
  <si>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</si>
  <si>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</si>
  <si>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</si>
  <si>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</si>
  <si>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</si>
  <si>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</si>
  <si>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</si>
  <si>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</si>
  <si>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</si>
  <si>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</si>
  <si>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</si>
  <si>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</si>
  <si>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</si>
  <si>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</si>
  <si>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</si>
  <si>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</si>
  <si>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</si>
  <si>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</si>
  <si>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</si>
  <si>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</si>
  <si>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</si>
  <si>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</si>
  <si>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</si>
  <si>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</si>
  <si>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</si>
  <si>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</si>
  <si>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</si>
  <si>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</si>
  <si>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02 1 03 23870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</si>
  <si>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</si>
  <si>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</si>
  <si>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</si>
  <si>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</si>
  <si>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</si>
  <si>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</si>
  <si>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</si>
  <si>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</si>
  <si>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</si>
  <si>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</si>
  <si>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</si>
  <si>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</si>
  <si>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</si>
  <si>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</si>
  <si>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</si>
  <si>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04 4 04 25160</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</si>
  <si>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</si>
  <si>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</si>
  <si>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</si>
  <si>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Контрольно-счетный орган Южского муниципального района Ивановской области</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</si>
  <si>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</si>
  <si>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</si>
  <si>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</si>
  <si>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</si>
  <si>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</si>
  <si>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2 02 S3010</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</si>
  <si>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</si>
  <si>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</si>
  <si>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01 2 02 25290</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</si>
  <si>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</si>
  <si>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</si>
  <si>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</si>
  <si>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Д 01 25280</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</si>
  <si>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</si>
  <si>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</si>
  <si>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</si>
  <si>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</si>
  <si>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</si>
  <si>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</si>
  <si>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01 2 02 25320</t>
  </si>
  <si>
    <t>01 2 02 25330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</si>
  <si>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</si>
  <si>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</si>
  <si>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</si>
  <si>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</si>
  <si>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31 9 00 25350</t>
  </si>
  <si>
    <t>Оплата административного штрафа по постановлению УФСБ России по Ивановской области от 20.04.2022 № 23/29-22 (Иные бюджетные ассигнования)</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</si>
  <si>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</si>
  <si>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</si>
  <si>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</si>
  <si>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</si>
  <si>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</si>
  <si>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</si>
  <si>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30 9 00 25360</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</si>
  <si>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</si>
  <si>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</si>
  <si>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</si>
  <si>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</si>
  <si>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</si>
  <si>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</si>
  <si>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</si>
  <si>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</si>
  <si>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</si>
  <si>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</si>
  <si>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</si>
  <si>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</si>
  <si>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</si>
  <si>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</si>
  <si>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</si>
  <si>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</si>
  <si>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</si>
  <si>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</si>
  <si>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31 9 00 55490</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</si>
  <si>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</si>
  <si>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</si>
  <si>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</si>
  <si>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</si>
  <si>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</si>
  <si>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</si>
  <si>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</si>
  <si>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01 1 02 S8900</t>
  </si>
  <si>
    <t>01 2 02 25560</t>
  </si>
  <si>
    <t>01 2 02 25570</t>
  </si>
  <si>
    <t>05 4 02 25580</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</si>
  <si>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</si>
  <si>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</si>
  <si>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</si>
  <si>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</si>
  <si>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</si>
  <si>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</si>
  <si>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</si>
  <si>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</si>
  <si>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</si>
  <si>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</si>
  <si>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</si>
  <si>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</si>
  <si>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</si>
  <si>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05 4 03 25600</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</si>
  <si>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</si>
  <si>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</si>
  <si>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</si>
  <si>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</si>
  <si>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</si>
  <si>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</si>
  <si>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</si>
  <si>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</si>
  <si>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</si>
  <si>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</si>
  <si>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</si>
  <si>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</si>
  <si>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</si>
  <si>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31 9 00 25630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</si>
  <si>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</si>
  <si>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</si>
  <si>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</si>
  <si>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</si>
  <si>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</si>
  <si>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</si>
  <si>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</si>
  <si>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13 1 01 25680</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</si>
  <si>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</si>
  <si>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</si>
  <si>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01 2 02 89700</t>
  </si>
  <si>
    <t xml:space="preserve">039 </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</si>
  <si>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</si>
  <si>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</si>
  <si>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</si>
  <si>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</si>
  <si>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</si>
  <si>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</si>
  <si>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</si>
  <si>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</si>
  <si>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</si>
  <si>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L750F</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</si>
  <si>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</si>
  <si>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Приложение № 2</t>
  </si>
  <si>
    <t>"Об утверждении отчета</t>
  </si>
  <si>
    <t>об исполнении бюджета Южского</t>
  </si>
  <si>
    <t>за 2022 год"</t>
  </si>
  <si>
    <t>от _______________ № _____</t>
  </si>
  <si>
    <t>Расходы бюджета Южского муниципального района по ведомственной структуре расходов бюджета за 2022 год</t>
  </si>
  <si>
    <t>Утвержденные бюджетные назначения (руб.)</t>
  </si>
  <si>
    <t>Исполнено за 2022 год (руб.</t>
  </si>
  <si>
    <t>Процент исполнения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</si>
  <si>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3"/>
        <color theme="1"/>
        <rFont val="Times New Roman"/>
        <family val="1"/>
        <charset val="204"/>
      </rPr>
      <t xml:space="preserve"> </t>
    </r>
  </si>
  <si>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3"/>
        <color theme="1"/>
        <rFont val="Times New Roman"/>
        <family val="1"/>
        <charset val="204"/>
      </rPr>
      <t xml:space="preserve"> </t>
    </r>
  </si>
  <si>
    <r>
      <t>Управление жилищно-коммунального хозяйства Администрации Южского муниципального района</t>
    </r>
    <r>
      <rPr>
        <i/>
        <sz val="13"/>
        <color rgb="FF00206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</si>
</sst>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sz val="13"/>
      <color theme="1"/>
      <name val="Times New Roman"/>
      <family val="1"/>
      <charset val="204"/>
    </font>
    <font>
      <sz val="13"/>
      <name val="Times New Roman"/>
      <family val="1"/>
      <charset val="204"/>
    </font>
    <font>
      <i/>
      <sz val="13"/>
      <color theme="1"/>
      <name val="Times New Roman"/>
      <family val="1"/>
      <charset val="204"/>
    </font>
    <font>
      <b/>
      <sz val="13"/>
      <name val="Times New Roman"/>
      <family val="1"/>
      <charset val="204"/>
    </font>
    <font>
      <i/>
      <sz val="13"/>
      <color rgb="FF002060"/>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0" fontId="2" fillId="0" borderId="0" xfId="0" applyFont="1"/>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0" fontId="2" fillId="0" borderId="0" xfId="0" applyFont="1" applyAlignment="1">
      <alignment vertical="center"/>
    </xf>
    <xf numFmtId="4" fontId="1" fillId="0" borderId="1" xfId="0"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 fillId="0" borderId="1" xfId="0" applyFont="1" applyBorder="1" applyAlignment="1">
      <alignment horizontal="center"/>
    </xf>
    <xf numFmtId="2" fontId="1"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Border="1" applyAlignment="1">
      <alignment horizontal="center" vertical="center" wrapText="1"/>
    </xf>
    <xf numFmtId="0" fontId="1" fillId="0" borderId="0" xfId="0" applyFont="1" applyAlignment="1">
      <alignment horizontal="right" vertical="top"/>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0" fontId="5" fillId="2" borderId="1" xfId="0" applyFont="1" applyFill="1" applyBorder="1" applyAlignment="1">
      <alignment horizontal="justify" vertical="top"/>
    </xf>
    <xf numFmtId="0" fontId="6" fillId="2" borderId="1" xfId="0" applyFont="1" applyFill="1" applyBorder="1" applyAlignment="1">
      <alignment horizontal="justify" vertical="top"/>
    </xf>
    <xf numFmtId="0" fontId="5" fillId="2" borderId="1"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2" fontId="5" fillId="2" borderId="1" xfId="0" applyNumberFormat="1" applyFont="1" applyFill="1" applyBorder="1" applyAlignment="1">
      <alignment horizontal="justify" vertical="top" wrapText="1"/>
    </xf>
    <xf numFmtId="0" fontId="6" fillId="0" borderId="1" xfId="0" applyFont="1" applyFill="1" applyBorder="1" applyAlignment="1">
      <alignment horizontal="justify" vertical="top"/>
    </xf>
    <xf numFmtId="2" fontId="6" fillId="2" borderId="1" xfId="0" applyNumberFormat="1" applyFont="1" applyFill="1" applyBorder="1" applyAlignment="1">
      <alignment horizontal="justify" vertical="top" wrapText="1"/>
    </xf>
    <xf numFmtId="49" fontId="6" fillId="2" borderId="1" xfId="0" applyNumberFormat="1" applyFont="1" applyFill="1" applyBorder="1" applyAlignment="1">
      <alignment horizontal="justify" vertical="top" wrapText="1"/>
    </xf>
    <xf numFmtId="49" fontId="5" fillId="0" borderId="1" xfId="0" applyNumberFormat="1" applyFont="1" applyBorder="1" applyAlignment="1">
      <alignment horizontal="justify" vertical="top" wrapText="1"/>
    </xf>
    <xf numFmtId="0" fontId="6" fillId="2" borderId="1" xfId="0" applyNumberFormat="1" applyFont="1" applyFill="1" applyBorder="1" applyAlignment="1">
      <alignment horizontal="justify" vertical="top"/>
    </xf>
    <xf numFmtId="0" fontId="10" fillId="2" borderId="1" xfId="0" applyFont="1" applyFill="1" applyBorder="1" applyAlignment="1">
      <alignment horizontal="justify" vertical="top" wrapText="1"/>
    </xf>
    <xf numFmtId="49" fontId="2"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8" fillId="0" borderId="1" xfId="0" applyNumberFormat="1" applyFont="1" applyFill="1" applyBorder="1" applyAlignment="1">
      <alignment horizontal="justify" vertical="center" wrapText="1"/>
    </xf>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2" fontId="8" fillId="0" borderId="1" xfId="0" applyNumberFormat="1" applyFont="1" applyFill="1" applyBorder="1" applyAlignment="1">
      <alignment horizontal="justify" vertical="center" wrapText="1"/>
    </xf>
    <xf numFmtId="0" fontId="1" fillId="0" borderId="0" xfId="0" applyFont="1" applyFill="1"/>
    <xf numFmtId="0" fontId="2" fillId="0" borderId="1" xfId="0" applyFont="1" applyFill="1" applyBorder="1" applyAlignment="1">
      <alignment vertical="center"/>
    </xf>
    <xf numFmtId="2" fontId="2" fillId="0" borderId="1" xfId="0" applyNumberFormat="1" applyFont="1" applyFill="1" applyBorder="1" applyAlignment="1">
      <alignment horizontal="center" vertical="center"/>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49" fontId="2" fillId="0" borderId="0" xfId="0" applyNumberFormat="1" applyFont="1" applyAlignment="1">
      <alignment horizontal="center" vertical="center" wrapText="1"/>
    </xf>
    <xf numFmtId="0" fontId="1" fillId="0" borderId="0" xfId="0" applyFont="1" applyAlignment="1">
      <alignment horizontal="right"/>
    </xf>
    <xf numFmtId="0" fontId="1" fillId="0" borderId="0" xfId="0" applyFont="1" applyAlignment="1">
      <alignment horizontal="right"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1"/>
  <sheetViews>
    <sheetView tabSelected="1" topLeftCell="A307" zoomScale="71" zoomScaleNormal="71" workbookViewId="0">
      <selection activeCell="A256" sqref="A256:I256"/>
    </sheetView>
  </sheetViews>
  <sheetFormatPr defaultColWidth="9.1796875" defaultRowHeight="18" x14ac:dyDescent="0.4"/>
  <cols>
    <col min="1" max="1" width="85.81640625" style="1" customWidth="1"/>
    <col min="2" max="2" width="7" style="2" customWidth="1"/>
    <col min="3" max="3" width="5.26953125" style="2" customWidth="1"/>
    <col min="4" max="4" width="6" style="2" customWidth="1"/>
    <col min="5" max="5" width="18.1796875" style="2" customWidth="1"/>
    <col min="6" max="6" width="5.7265625" style="2" customWidth="1"/>
    <col min="7" max="7" width="19.26953125" style="1" customWidth="1"/>
    <col min="8" max="8" width="17.7265625" style="1" bestFit="1" customWidth="1"/>
    <col min="9" max="9" width="18" style="1" customWidth="1"/>
    <col min="10" max="16384" width="9.1796875" style="1"/>
  </cols>
  <sheetData>
    <row r="1" spans="1:9" x14ac:dyDescent="0.4">
      <c r="E1" s="59" t="s">
        <v>533</v>
      </c>
      <c r="F1" s="59"/>
      <c r="G1" s="59"/>
      <c r="H1" s="59"/>
      <c r="I1" s="59"/>
    </row>
    <row r="2" spans="1:9" x14ac:dyDescent="0.4">
      <c r="E2" s="59" t="s">
        <v>0</v>
      </c>
      <c r="F2" s="59"/>
      <c r="G2" s="59"/>
      <c r="H2" s="59"/>
      <c r="I2" s="59"/>
    </row>
    <row r="3" spans="1:9" x14ac:dyDescent="0.4">
      <c r="E3" s="59" t="s">
        <v>1</v>
      </c>
      <c r="F3" s="59"/>
      <c r="G3" s="59"/>
      <c r="H3" s="59"/>
      <c r="I3" s="59"/>
    </row>
    <row r="4" spans="1:9" x14ac:dyDescent="0.4">
      <c r="E4" s="59" t="s">
        <v>534</v>
      </c>
      <c r="F4" s="59"/>
      <c r="G4" s="59"/>
      <c r="H4" s="59"/>
      <c r="I4" s="59"/>
    </row>
    <row r="5" spans="1:9" x14ac:dyDescent="0.4">
      <c r="E5" s="59" t="s">
        <v>535</v>
      </c>
      <c r="F5" s="59"/>
      <c r="G5" s="59"/>
      <c r="H5" s="59"/>
      <c r="I5" s="59"/>
    </row>
    <row r="6" spans="1:9" x14ac:dyDescent="0.4">
      <c r="E6" s="59" t="s">
        <v>1</v>
      </c>
      <c r="F6" s="59"/>
      <c r="G6" s="59"/>
      <c r="H6" s="59"/>
      <c r="I6" s="59"/>
    </row>
    <row r="7" spans="1:9" x14ac:dyDescent="0.4">
      <c r="E7" s="59" t="s">
        <v>536</v>
      </c>
      <c r="F7" s="59"/>
      <c r="G7" s="59"/>
      <c r="H7" s="59"/>
      <c r="I7" s="59"/>
    </row>
    <row r="8" spans="1:9" ht="18.75" customHeight="1" x14ac:dyDescent="0.4">
      <c r="E8" s="60" t="s">
        <v>537</v>
      </c>
      <c r="F8" s="60"/>
      <c r="G8" s="60"/>
      <c r="H8" s="60"/>
      <c r="I8" s="60"/>
    </row>
    <row r="10" spans="1:9" s="5" customFormat="1" ht="33" customHeight="1" x14ac:dyDescent="0.35">
      <c r="A10" s="58" t="s">
        <v>538</v>
      </c>
      <c r="B10" s="58"/>
      <c r="C10" s="58"/>
      <c r="D10" s="58"/>
      <c r="E10" s="58"/>
      <c r="F10" s="58"/>
      <c r="G10" s="58"/>
      <c r="H10" s="58"/>
      <c r="I10" s="58"/>
    </row>
    <row r="11" spans="1:9" ht="0.5" customHeight="1" x14ac:dyDescent="0.4">
      <c r="A11" s="55"/>
      <c r="B11" s="55"/>
      <c r="C11" s="55"/>
      <c r="D11" s="55"/>
      <c r="E11" s="55"/>
      <c r="F11" s="55"/>
      <c r="G11" s="55"/>
    </row>
    <row r="12" spans="1:9" ht="18.75" customHeight="1" x14ac:dyDescent="0.4">
      <c r="A12" s="56" t="s">
        <v>2</v>
      </c>
      <c r="B12" s="57" t="s">
        <v>236</v>
      </c>
      <c r="C12" s="57" t="s">
        <v>3</v>
      </c>
      <c r="D12" s="57" t="s">
        <v>4</v>
      </c>
      <c r="E12" s="56" t="s">
        <v>5</v>
      </c>
      <c r="F12" s="57" t="s">
        <v>6</v>
      </c>
      <c r="G12" s="61" t="s">
        <v>539</v>
      </c>
      <c r="H12" s="61" t="s">
        <v>540</v>
      </c>
      <c r="I12" s="61" t="s">
        <v>541</v>
      </c>
    </row>
    <row r="13" spans="1:9" ht="69" customHeight="1" x14ac:dyDescent="0.4">
      <c r="A13" s="56"/>
      <c r="B13" s="57"/>
      <c r="C13" s="57"/>
      <c r="D13" s="57"/>
      <c r="E13" s="56"/>
      <c r="F13" s="57"/>
      <c r="G13" s="62"/>
      <c r="H13" s="62"/>
      <c r="I13" s="62"/>
    </row>
    <row r="14" spans="1:9" ht="33" customHeight="1" x14ac:dyDescent="0.4">
      <c r="A14" s="56"/>
      <c r="B14" s="57"/>
      <c r="C14" s="57"/>
      <c r="D14" s="57"/>
      <c r="E14" s="56"/>
      <c r="F14" s="57"/>
      <c r="G14" s="63"/>
      <c r="H14" s="63"/>
      <c r="I14" s="63"/>
    </row>
    <row r="15" spans="1:9" s="3" customFormat="1" x14ac:dyDescent="0.4">
      <c r="A15" s="19" t="s">
        <v>7</v>
      </c>
      <c r="B15" s="18" t="s">
        <v>8</v>
      </c>
      <c r="C15" s="18" t="s">
        <v>9</v>
      </c>
      <c r="D15" s="18" t="s">
        <v>10</v>
      </c>
      <c r="E15" s="18" t="s">
        <v>11</v>
      </c>
      <c r="F15" s="18" t="s">
        <v>12</v>
      </c>
      <c r="G15" s="16">
        <v>7</v>
      </c>
      <c r="H15" s="16">
        <v>8</v>
      </c>
      <c r="I15" s="16">
        <v>9</v>
      </c>
    </row>
    <row r="16" spans="1:9" s="5" customFormat="1" ht="41.25" customHeight="1" x14ac:dyDescent="0.35">
      <c r="A16" s="45" t="s">
        <v>202</v>
      </c>
      <c r="B16" s="46" t="s">
        <v>13</v>
      </c>
      <c r="C16" s="46" t="s">
        <v>14</v>
      </c>
      <c r="D16" s="46" t="s">
        <v>14</v>
      </c>
      <c r="E16" s="46" t="s">
        <v>15</v>
      </c>
      <c r="F16" s="46" t="s">
        <v>16</v>
      </c>
      <c r="G16" s="47">
        <f>SUM(G17:G106)</f>
        <v>88620702.449999973</v>
      </c>
      <c r="H16" s="47">
        <f>SUM(H17:H106)</f>
        <v>87008988.509999961</v>
      </c>
      <c r="I16" s="47">
        <f>H16/G16*100</f>
        <v>98.181334727165648</v>
      </c>
    </row>
    <row r="17" spans="1:9" s="5" customFormat="1" ht="73" customHeight="1" x14ac:dyDescent="0.35">
      <c r="A17" s="32" t="s">
        <v>111</v>
      </c>
      <c r="B17" s="10" t="s">
        <v>13</v>
      </c>
      <c r="C17" s="10" t="s">
        <v>17</v>
      </c>
      <c r="D17" s="10" t="s">
        <v>18</v>
      </c>
      <c r="E17" s="13" t="s">
        <v>19</v>
      </c>
      <c r="F17" s="10" t="s">
        <v>20</v>
      </c>
      <c r="G17" s="14">
        <f>1414350.05-5481+17551.95+174576.23+47262.11+81662.97</f>
        <v>1729922.31</v>
      </c>
      <c r="H17" s="14">
        <v>1712188.51</v>
      </c>
      <c r="I17" s="9">
        <f>H17/G17*100</f>
        <v>98.974878819847106</v>
      </c>
    </row>
    <row r="18" spans="1:9" s="5" customFormat="1" ht="89.5" customHeight="1" x14ac:dyDescent="0.35">
      <c r="A18" s="33" t="s">
        <v>469</v>
      </c>
      <c r="B18" s="10" t="s">
        <v>13</v>
      </c>
      <c r="C18" s="10" t="s">
        <v>17</v>
      </c>
      <c r="D18" s="10" t="s">
        <v>18</v>
      </c>
      <c r="E18" s="13" t="s">
        <v>470</v>
      </c>
      <c r="F18" s="10" t="s">
        <v>20</v>
      </c>
      <c r="G18" s="14">
        <v>911400</v>
      </c>
      <c r="H18" s="14">
        <v>911400</v>
      </c>
      <c r="I18" s="9">
        <f t="shared" ref="I18:I81" si="0">H18/G18*100</f>
        <v>100</v>
      </c>
    </row>
    <row r="19" spans="1:9" ht="103.5" customHeight="1" x14ac:dyDescent="0.4">
      <c r="A19" s="32" t="s">
        <v>112</v>
      </c>
      <c r="B19" s="10" t="s">
        <v>13</v>
      </c>
      <c r="C19" s="10" t="s">
        <v>17</v>
      </c>
      <c r="D19" s="10" t="s">
        <v>21</v>
      </c>
      <c r="E19" s="13" t="s">
        <v>22</v>
      </c>
      <c r="F19" s="10" t="s">
        <v>20</v>
      </c>
      <c r="G19" s="14">
        <f>19958349.14+12888.24+548297.04+254324.99+1672639.83-81662.97</f>
        <v>22364836.269999996</v>
      </c>
      <c r="H19" s="14">
        <v>22363005.210000001</v>
      </c>
      <c r="I19" s="9">
        <f t="shared" si="0"/>
        <v>99.991812772613713</v>
      </c>
    </row>
    <row r="20" spans="1:9" ht="76" customHeight="1" x14ac:dyDescent="0.4">
      <c r="A20" s="32" t="s">
        <v>542</v>
      </c>
      <c r="B20" s="10" t="s">
        <v>13</v>
      </c>
      <c r="C20" s="10" t="s">
        <v>17</v>
      </c>
      <c r="D20" s="10" t="s">
        <v>21</v>
      </c>
      <c r="E20" s="13" t="s">
        <v>22</v>
      </c>
      <c r="F20" s="10" t="s">
        <v>23</v>
      </c>
      <c r="G20" s="14">
        <f>869933.02+78400+64465.15+512+1000-24254.45+1200+66183.26-30000-30000-37050</f>
        <v>960388.98</v>
      </c>
      <c r="H20" s="14">
        <v>841226.44</v>
      </c>
      <c r="I20" s="9">
        <f t="shared" si="0"/>
        <v>87.592262876652327</v>
      </c>
    </row>
    <row r="21" spans="1:9" ht="59" customHeight="1" x14ac:dyDescent="0.4">
      <c r="A21" s="32" t="s">
        <v>24</v>
      </c>
      <c r="B21" s="10" t="s">
        <v>13</v>
      </c>
      <c r="C21" s="10" t="s">
        <v>17</v>
      </c>
      <c r="D21" s="10" t="s">
        <v>21</v>
      </c>
      <c r="E21" s="13" t="s">
        <v>22</v>
      </c>
      <c r="F21" s="10" t="s">
        <v>25</v>
      </c>
      <c r="G21" s="14">
        <f>104000-28100-462.89</f>
        <v>75437.11</v>
      </c>
      <c r="H21" s="14">
        <v>65826</v>
      </c>
      <c r="I21" s="9">
        <f t="shared" si="0"/>
        <v>87.259440347065251</v>
      </c>
    </row>
    <row r="22" spans="1:9" ht="82.5" x14ac:dyDescent="0.4">
      <c r="A22" s="33" t="s">
        <v>163</v>
      </c>
      <c r="B22" s="10" t="s">
        <v>13</v>
      </c>
      <c r="C22" s="10" t="s">
        <v>17</v>
      </c>
      <c r="D22" s="10" t="s">
        <v>21</v>
      </c>
      <c r="E22" s="13" t="s">
        <v>164</v>
      </c>
      <c r="F22" s="10" t="s">
        <v>20</v>
      </c>
      <c r="G22" s="14">
        <f>444672.58+44196.64</f>
        <v>488869.22000000003</v>
      </c>
      <c r="H22" s="14">
        <f>444672.58+44196.64</f>
        <v>488869.22000000003</v>
      </c>
      <c r="I22" s="9">
        <f t="shared" si="0"/>
        <v>100</v>
      </c>
    </row>
    <row r="23" spans="1:9" ht="69.5" customHeight="1" x14ac:dyDescent="0.4">
      <c r="A23" s="32" t="s">
        <v>165</v>
      </c>
      <c r="B23" s="10" t="s">
        <v>13</v>
      </c>
      <c r="C23" s="10" t="s">
        <v>17</v>
      </c>
      <c r="D23" s="10" t="s">
        <v>21</v>
      </c>
      <c r="E23" s="13" t="s">
        <v>164</v>
      </c>
      <c r="F23" s="10" t="s">
        <v>23</v>
      </c>
      <c r="G23" s="14">
        <v>21918.51</v>
      </c>
      <c r="H23" s="14">
        <v>21918.51</v>
      </c>
      <c r="I23" s="9">
        <f t="shared" si="0"/>
        <v>100</v>
      </c>
    </row>
    <row r="24" spans="1:9" ht="57.5" customHeight="1" x14ac:dyDescent="0.4">
      <c r="A24" s="32" t="s">
        <v>191</v>
      </c>
      <c r="B24" s="10" t="s">
        <v>13</v>
      </c>
      <c r="C24" s="10" t="s">
        <v>17</v>
      </c>
      <c r="D24" s="10" t="s">
        <v>21</v>
      </c>
      <c r="E24" s="13" t="s">
        <v>186</v>
      </c>
      <c r="F24" s="10" t="s">
        <v>23</v>
      </c>
      <c r="G24" s="14">
        <f>1000-200</f>
        <v>800</v>
      </c>
      <c r="H24" s="14">
        <f>1000-200</f>
        <v>800</v>
      </c>
      <c r="I24" s="9">
        <f t="shared" si="0"/>
        <v>100</v>
      </c>
    </row>
    <row r="25" spans="1:9" ht="55" customHeight="1" x14ac:dyDescent="0.4">
      <c r="A25" s="34" t="s">
        <v>192</v>
      </c>
      <c r="B25" s="10" t="s">
        <v>13</v>
      </c>
      <c r="C25" s="10" t="s">
        <v>17</v>
      </c>
      <c r="D25" s="10" t="s">
        <v>21</v>
      </c>
      <c r="E25" s="13" t="s">
        <v>187</v>
      </c>
      <c r="F25" s="10" t="s">
        <v>23</v>
      </c>
      <c r="G25" s="14">
        <f>56000+18500-6850</f>
        <v>67650</v>
      </c>
      <c r="H25" s="14">
        <f>56000+18500-6850</f>
        <v>67650</v>
      </c>
      <c r="I25" s="9">
        <f t="shared" si="0"/>
        <v>100</v>
      </c>
    </row>
    <row r="26" spans="1:9" ht="71.5" customHeight="1" x14ac:dyDescent="0.4">
      <c r="A26" s="35" t="s">
        <v>516</v>
      </c>
      <c r="B26" s="10" t="s">
        <v>13</v>
      </c>
      <c r="C26" s="10" t="s">
        <v>17</v>
      </c>
      <c r="D26" s="10" t="s">
        <v>21</v>
      </c>
      <c r="E26" s="13" t="s">
        <v>517</v>
      </c>
      <c r="F26" s="10" t="s">
        <v>23</v>
      </c>
      <c r="G26" s="14">
        <v>65200</v>
      </c>
      <c r="H26" s="14">
        <v>65200</v>
      </c>
      <c r="I26" s="9">
        <f t="shared" si="0"/>
        <v>100</v>
      </c>
    </row>
    <row r="27" spans="1:9" ht="71" customHeight="1" x14ac:dyDescent="0.4">
      <c r="A27" s="34" t="s">
        <v>360</v>
      </c>
      <c r="B27" s="10" t="s">
        <v>13</v>
      </c>
      <c r="C27" s="10" t="s">
        <v>17</v>
      </c>
      <c r="D27" s="10" t="s">
        <v>26</v>
      </c>
      <c r="E27" s="13" t="s">
        <v>359</v>
      </c>
      <c r="F27" s="10" t="s">
        <v>23</v>
      </c>
      <c r="G27" s="14">
        <f>24425.32+2083.66</f>
        <v>26508.98</v>
      </c>
      <c r="H27" s="14">
        <f>24425.32+2083.66</f>
        <v>26508.98</v>
      </c>
      <c r="I27" s="9">
        <f t="shared" si="0"/>
        <v>100</v>
      </c>
    </row>
    <row r="28" spans="1:9" ht="40" customHeight="1" x14ac:dyDescent="0.4">
      <c r="A28" s="34" t="s">
        <v>113</v>
      </c>
      <c r="B28" s="10" t="s">
        <v>13</v>
      </c>
      <c r="C28" s="10" t="s">
        <v>17</v>
      </c>
      <c r="D28" s="10" t="s">
        <v>27</v>
      </c>
      <c r="E28" s="13" t="s">
        <v>114</v>
      </c>
      <c r="F28" s="10" t="s">
        <v>25</v>
      </c>
      <c r="G28" s="14">
        <f>500000-49948-20000-382000</f>
        <v>48052</v>
      </c>
      <c r="H28" s="14">
        <v>0</v>
      </c>
      <c r="I28" s="9">
        <f t="shared" si="0"/>
        <v>0</v>
      </c>
    </row>
    <row r="29" spans="1:9" ht="75.5" customHeight="1" x14ac:dyDescent="0.4">
      <c r="A29" s="36" t="s">
        <v>260</v>
      </c>
      <c r="B29" s="10" t="s">
        <v>13</v>
      </c>
      <c r="C29" s="10" t="s">
        <v>17</v>
      </c>
      <c r="D29" s="10" t="s">
        <v>28</v>
      </c>
      <c r="E29" s="13" t="s">
        <v>250</v>
      </c>
      <c r="F29" s="10" t="s">
        <v>23</v>
      </c>
      <c r="G29" s="14">
        <v>18000</v>
      </c>
      <c r="H29" s="14">
        <v>0</v>
      </c>
      <c r="I29" s="9">
        <f t="shared" si="0"/>
        <v>0</v>
      </c>
    </row>
    <row r="30" spans="1:9" ht="59" customHeight="1" x14ac:dyDescent="0.4">
      <c r="A30" s="34" t="s">
        <v>115</v>
      </c>
      <c r="B30" s="10" t="s">
        <v>13</v>
      </c>
      <c r="C30" s="10" t="s">
        <v>17</v>
      </c>
      <c r="D30" s="10" t="s">
        <v>28</v>
      </c>
      <c r="E30" s="13" t="s">
        <v>116</v>
      </c>
      <c r="F30" s="10" t="s">
        <v>23</v>
      </c>
      <c r="G30" s="14">
        <f>210000+32000-61160</f>
        <v>180840</v>
      </c>
      <c r="H30" s="14">
        <f>210000+32000-61160</f>
        <v>180840</v>
      </c>
      <c r="I30" s="9">
        <f t="shared" si="0"/>
        <v>100</v>
      </c>
    </row>
    <row r="31" spans="1:9" ht="93.5" customHeight="1" x14ac:dyDescent="0.4">
      <c r="A31" s="32" t="s">
        <v>178</v>
      </c>
      <c r="B31" s="10" t="s">
        <v>13</v>
      </c>
      <c r="C31" s="10" t="s">
        <v>17</v>
      </c>
      <c r="D31" s="10" t="s">
        <v>28</v>
      </c>
      <c r="E31" s="13" t="s">
        <v>31</v>
      </c>
      <c r="F31" s="10" t="s">
        <v>32</v>
      </c>
      <c r="G31" s="14">
        <v>154800</v>
      </c>
      <c r="H31" s="14">
        <v>154800</v>
      </c>
      <c r="I31" s="9">
        <f t="shared" si="0"/>
        <v>100</v>
      </c>
    </row>
    <row r="32" spans="1:9" ht="54.5" customHeight="1" x14ac:dyDescent="0.4">
      <c r="A32" s="32" t="s">
        <v>161</v>
      </c>
      <c r="B32" s="10" t="s">
        <v>13</v>
      </c>
      <c r="C32" s="10" t="s">
        <v>17</v>
      </c>
      <c r="D32" s="10" t="s">
        <v>28</v>
      </c>
      <c r="E32" s="13" t="s">
        <v>162</v>
      </c>
      <c r="F32" s="10" t="s">
        <v>23</v>
      </c>
      <c r="G32" s="14">
        <v>10971</v>
      </c>
      <c r="H32" s="14">
        <v>10971</v>
      </c>
      <c r="I32" s="9">
        <f t="shared" si="0"/>
        <v>100</v>
      </c>
    </row>
    <row r="33" spans="1:9" ht="73" customHeight="1" x14ac:dyDescent="0.4">
      <c r="A33" s="33" t="s">
        <v>283</v>
      </c>
      <c r="B33" s="10" t="s">
        <v>13</v>
      </c>
      <c r="C33" s="10" t="s">
        <v>17</v>
      </c>
      <c r="D33" s="10" t="s">
        <v>28</v>
      </c>
      <c r="E33" s="13" t="s">
        <v>282</v>
      </c>
      <c r="F33" s="10" t="s">
        <v>32</v>
      </c>
      <c r="G33" s="14">
        <f>1558414+70482</f>
        <v>1628896</v>
      </c>
      <c r="H33" s="14">
        <f>1558414+70482</f>
        <v>1628896</v>
      </c>
      <c r="I33" s="9">
        <f t="shared" si="0"/>
        <v>100</v>
      </c>
    </row>
    <row r="34" spans="1:9" ht="70.5" customHeight="1" x14ac:dyDescent="0.4">
      <c r="A34" s="34" t="s">
        <v>227</v>
      </c>
      <c r="B34" s="10" t="s">
        <v>13</v>
      </c>
      <c r="C34" s="10" t="s">
        <v>17</v>
      </c>
      <c r="D34" s="10" t="s">
        <v>28</v>
      </c>
      <c r="E34" s="13" t="s">
        <v>201</v>
      </c>
      <c r="F34" s="10" t="s">
        <v>32</v>
      </c>
      <c r="G34" s="14">
        <f>3850482.69+25776.48+8530.8+24119.45+164252.3+205137.67+25318.72+50619.89+15844.77</f>
        <v>4370082.7699999986</v>
      </c>
      <c r="H34" s="14">
        <f>3850482.69+25776.48+8530.8+24119.45+164252.3+205137.67+25318.72+50619.89+15844.77</f>
        <v>4370082.7699999986</v>
      </c>
      <c r="I34" s="9">
        <f t="shared" si="0"/>
        <v>100</v>
      </c>
    </row>
    <row r="35" spans="1:9" ht="56" customHeight="1" x14ac:dyDescent="0.4">
      <c r="A35" s="34" t="s">
        <v>117</v>
      </c>
      <c r="B35" s="10" t="s">
        <v>13</v>
      </c>
      <c r="C35" s="10" t="s">
        <v>17</v>
      </c>
      <c r="D35" s="10" t="s">
        <v>28</v>
      </c>
      <c r="E35" s="13" t="s">
        <v>118</v>
      </c>
      <c r="F35" s="10" t="s">
        <v>23</v>
      </c>
      <c r="G35" s="14">
        <f>40450+100000+1000-12600</f>
        <v>128850</v>
      </c>
      <c r="H35" s="14">
        <f>40450+100000+1000-12600</f>
        <v>128850</v>
      </c>
      <c r="I35" s="9">
        <f t="shared" si="0"/>
        <v>100</v>
      </c>
    </row>
    <row r="36" spans="1:9" ht="56" customHeight="1" x14ac:dyDescent="0.4">
      <c r="A36" s="34" t="s">
        <v>119</v>
      </c>
      <c r="B36" s="10" t="s">
        <v>13</v>
      </c>
      <c r="C36" s="10" t="s">
        <v>17</v>
      </c>
      <c r="D36" s="10" t="s">
        <v>28</v>
      </c>
      <c r="E36" s="13" t="s">
        <v>120</v>
      </c>
      <c r="F36" s="10" t="s">
        <v>23</v>
      </c>
      <c r="G36" s="14">
        <f>150000+165300+28116+14500+28100+17554+462.89</f>
        <v>404032.89</v>
      </c>
      <c r="H36" s="14">
        <f>150000+165300+28116+14500+28100+17554+462.89</f>
        <v>404032.89</v>
      </c>
      <c r="I36" s="9">
        <f t="shared" si="0"/>
        <v>100</v>
      </c>
    </row>
    <row r="37" spans="1:9" ht="49.5" customHeight="1" x14ac:dyDescent="0.4">
      <c r="A37" s="34" t="s">
        <v>277</v>
      </c>
      <c r="B37" s="10" t="s">
        <v>13</v>
      </c>
      <c r="C37" s="10" t="s">
        <v>17</v>
      </c>
      <c r="D37" s="10" t="s">
        <v>28</v>
      </c>
      <c r="E37" s="13" t="s">
        <v>278</v>
      </c>
      <c r="F37" s="10" t="s">
        <v>23</v>
      </c>
      <c r="G37" s="14">
        <f>50000+100000</f>
        <v>150000</v>
      </c>
      <c r="H37" s="14">
        <f>50000+100000</f>
        <v>150000</v>
      </c>
      <c r="I37" s="9">
        <f t="shared" si="0"/>
        <v>100</v>
      </c>
    </row>
    <row r="38" spans="1:9" ht="40.5" customHeight="1" x14ac:dyDescent="0.4">
      <c r="A38" s="34" t="s">
        <v>500</v>
      </c>
      <c r="B38" s="10" t="s">
        <v>13</v>
      </c>
      <c r="C38" s="10" t="s">
        <v>17</v>
      </c>
      <c r="D38" s="10" t="s">
        <v>28</v>
      </c>
      <c r="E38" s="13" t="s">
        <v>499</v>
      </c>
      <c r="F38" s="10" t="s">
        <v>23</v>
      </c>
      <c r="G38" s="14">
        <v>110000</v>
      </c>
      <c r="H38" s="14">
        <v>110000</v>
      </c>
      <c r="I38" s="9">
        <f t="shared" si="0"/>
        <v>100</v>
      </c>
    </row>
    <row r="39" spans="1:9" ht="104" customHeight="1" x14ac:dyDescent="0.4">
      <c r="A39" s="35" t="s">
        <v>298</v>
      </c>
      <c r="B39" s="10" t="s">
        <v>13</v>
      </c>
      <c r="C39" s="10" t="s">
        <v>17</v>
      </c>
      <c r="D39" s="10" t="s">
        <v>28</v>
      </c>
      <c r="E39" s="13" t="s">
        <v>301</v>
      </c>
      <c r="F39" s="13">
        <v>100</v>
      </c>
      <c r="G39" s="14">
        <f>5525785.95+167547.12+55450.2+365986.9+49240.48+148914+170901.36+59679.77+24415.78</f>
        <v>6567921.5600000015</v>
      </c>
      <c r="H39" s="14">
        <v>6557733.9299999997</v>
      </c>
      <c r="I39" s="9">
        <f t="shared" si="0"/>
        <v>99.844888068364796</v>
      </c>
    </row>
    <row r="40" spans="1:9" ht="75.5" customHeight="1" x14ac:dyDescent="0.4">
      <c r="A40" s="35" t="s">
        <v>299</v>
      </c>
      <c r="B40" s="10" t="s">
        <v>13</v>
      </c>
      <c r="C40" s="10" t="s">
        <v>17</v>
      </c>
      <c r="D40" s="10" t="s">
        <v>28</v>
      </c>
      <c r="E40" s="13" t="s">
        <v>301</v>
      </c>
      <c r="F40" s="13">
        <v>200</v>
      </c>
      <c r="G40" s="14">
        <f>3745268.38+4719+120750.34+1270696.8+1880319.41+363148.25+69011-2749784.4+55486+286000+40517.43+50000</f>
        <v>5136132.209999999</v>
      </c>
      <c r="H40" s="14">
        <v>4543033.97</v>
      </c>
      <c r="I40" s="9">
        <f t="shared" si="0"/>
        <v>88.452434327036158</v>
      </c>
    </row>
    <row r="41" spans="1:9" ht="60" customHeight="1" x14ac:dyDescent="0.4">
      <c r="A41" s="35" t="s">
        <v>300</v>
      </c>
      <c r="B41" s="10" t="s">
        <v>13</v>
      </c>
      <c r="C41" s="10" t="s">
        <v>17</v>
      </c>
      <c r="D41" s="10" t="s">
        <v>28</v>
      </c>
      <c r="E41" s="13" t="s">
        <v>301</v>
      </c>
      <c r="F41" s="13">
        <v>800</v>
      </c>
      <c r="G41" s="14">
        <f>131325-4719</f>
        <v>126606</v>
      </c>
      <c r="H41" s="14">
        <v>123617</v>
      </c>
      <c r="I41" s="9">
        <f t="shared" si="0"/>
        <v>97.639132426583259</v>
      </c>
    </row>
    <row r="42" spans="1:9" ht="57.5" customHeight="1" x14ac:dyDescent="0.4">
      <c r="A42" s="33" t="s">
        <v>228</v>
      </c>
      <c r="B42" s="21" t="s">
        <v>13</v>
      </c>
      <c r="C42" s="21" t="s">
        <v>17</v>
      </c>
      <c r="D42" s="21" t="s">
        <v>28</v>
      </c>
      <c r="E42" s="20" t="s">
        <v>229</v>
      </c>
      <c r="F42" s="21" t="s">
        <v>23</v>
      </c>
      <c r="G42" s="14">
        <v>29400</v>
      </c>
      <c r="H42" s="14">
        <v>29270</v>
      </c>
      <c r="I42" s="9">
        <f t="shared" si="0"/>
        <v>99.557823129251702</v>
      </c>
    </row>
    <row r="43" spans="1:9" ht="70.5" customHeight="1" x14ac:dyDescent="0.4">
      <c r="A43" s="33" t="s">
        <v>327</v>
      </c>
      <c r="B43" s="21" t="s">
        <v>13</v>
      </c>
      <c r="C43" s="21" t="s">
        <v>17</v>
      </c>
      <c r="D43" s="21" t="s">
        <v>28</v>
      </c>
      <c r="E43" s="20" t="s">
        <v>328</v>
      </c>
      <c r="F43" s="21" t="s">
        <v>23</v>
      </c>
      <c r="G43" s="14">
        <v>15000</v>
      </c>
      <c r="H43" s="14">
        <v>15000</v>
      </c>
      <c r="I43" s="9">
        <f t="shared" si="0"/>
        <v>100</v>
      </c>
    </row>
    <row r="44" spans="1:9" ht="71.5" customHeight="1" x14ac:dyDescent="0.4">
      <c r="A44" s="34" t="s">
        <v>121</v>
      </c>
      <c r="B44" s="10" t="s">
        <v>13</v>
      </c>
      <c r="C44" s="10" t="s">
        <v>17</v>
      </c>
      <c r="D44" s="10" t="s">
        <v>28</v>
      </c>
      <c r="E44" s="13" t="s">
        <v>122</v>
      </c>
      <c r="F44" s="10" t="s">
        <v>23</v>
      </c>
      <c r="G44" s="14">
        <v>12000</v>
      </c>
      <c r="H44" s="14">
        <v>12000</v>
      </c>
      <c r="I44" s="9">
        <f t="shared" si="0"/>
        <v>100</v>
      </c>
    </row>
    <row r="45" spans="1:9" ht="75.5" customHeight="1" x14ac:dyDescent="0.4">
      <c r="A45" s="34" t="s">
        <v>172</v>
      </c>
      <c r="B45" s="10" t="s">
        <v>13</v>
      </c>
      <c r="C45" s="10" t="s">
        <v>17</v>
      </c>
      <c r="D45" s="10" t="s">
        <v>28</v>
      </c>
      <c r="E45" s="13" t="s">
        <v>123</v>
      </c>
      <c r="F45" s="10" t="s">
        <v>23</v>
      </c>
      <c r="G45" s="14">
        <v>1500</v>
      </c>
      <c r="H45" s="14">
        <v>1500</v>
      </c>
      <c r="I45" s="9">
        <f t="shared" si="0"/>
        <v>100</v>
      </c>
    </row>
    <row r="46" spans="1:9" ht="105" customHeight="1" x14ac:dyDescent="0.4">
      <c r="A46" s="37" t="s">
        <v>261</v>
      </c>
      <c r="B46" s="10" t="s">
        <v>13</v>
      </c>
      <c r="C46" s="10" t="s">
        <v>17</v>
      </c>
      <c r="D46" s="10" t="s">
        <v>28</v>
      </c>
      <c r="E46" s="13" t="s">
        <v>251</v>
      </c>
      <c r="F46" s="10" t="s">
        <v>189</v>
      </c>
      <c r="G46" s="14">
        <v>1958.8</v>
      </c>
      <c r="H46" s="14">
        <v>1958.8</v>
      </c>
      <c r="I46" s="9">
        <f t="shared" si="0"/>
        <v>100</v>
      </c>
    </row>
    <row r="47" spans="1:9" ht="154.5" customHeight="1" x14ac:dyDescent="0.4">
      <c r="A47" s="37" t="s">
        <v>262</v>
      </c>
      <c r="B47" s="10" t="s">
        <v>13</v>
      </c>
      <c r="C47" s="10" t="s">
        <v>17</v>
      </c>
      <c r="D47" s="10" t="s">
        <v>28</v>
      </c>
      <c r="E47" s="13" t="s">
        <v>252</v>
      </c>
      <c r="F47" s="10" t="s">
        <v>189</v>
      </c>
      <c r="G47" s="14">
        <v>8247.2000000000007</v>
      </c>
      <c r="H47" s="14">
        <v>8247.2000000000007</v>
      </c>
      <c r="I47" s="9">
        <f t="shared" si="0"/>
        <v>100</v>
      </c>
    </row>
    <row r="48" spans="1:9" ht="56.5" customHeight="1" x14ac:dyDescent="0.4">
      <c r="A48" s="37" t="s">
        <v>263</v>
      </c>
      <c r="B48" s="10" t="s">
        <v>13</v>
      </c>
      <c r="C48" s="10" t="s">
        <v>17</v>
      </c>
      <c r="D48" s="10" t="s">
        <v>28</v>
      </c>
      <c r="E48" s="13" t="s">
        <v>253</v>
      </c>
      <c r="F48" s="10" t="s">
        <v>189</v>
      </c>
      <c r="G48" s="14">
        <v>1958.8</v>
      </c>
      <c r="H48" s="14">
        <v>1958.8</v>
      </c>
      <c r="I48" s="9">
        <f t="shared" si="0"/>
        <v>100</v>
      </c>
    </row>
    <row r="49" spans="1:9" ht="72.5" customHeight="1" x14ac:dyDescent="0.4">
      <c r="A49" s="37" t="s">
        <v>264</v>
      </c>
      <c r="B49" s="10" t="s">
        <v>13</v>
      </c>
      <c r="C49" s="10" t="s">
        <v>17</v>
      </c>
      <c r="D49" s="10" t="s">
        <v>28</v>
      </c>
      <c r="E49" s="13" t="s">
        <v>254</v>
      </c>
      <c r="F49" s="10" t="s">
        <v>189</v>
      </c>
      <c r="G49" s="14">
        <v>1958.8</v>
      </c>
      <c r="H49" s="14">
        <v>1958.8</v>
      </c>
      <c r="I49" s="9">
        <f t="shared" si="0"/>
        <v>100</v>
      </c>
    </row>
    <row r="50" spans="1:9" ht="88.5" customHeight="1" x14ac:dyDescent="0.4">
      <c r="A50" s="37" t="s">
        <v>265</v>
      </c>
      <c r="B50" s="10" t="s">
        <v>13</v>
      </c>
      <c r="C50" s="10" t="s">
        <v>17</v>
      </c>
      <c r="D50" s="10" t="s">
        <v>28</v>
      </c>
      <c r="E50" s="13" t="s">
        <v>255</v>
      </c>
      <c r="F50" s="10" t="s">
        <v>189</v>
      </c>
      <c r="G50" s="14">
        <v>1958.8</v>
      </c>
      <c r="H50" s="14">
        <v>1958.8</v>
      </c>
      <c r="I50" s="9">
        <f t="shared" si="0"/>
        <v>100</v>
      </c>
    </row>
    <row r="51" spans="1:9" ht="91" customHeight="1" x14ac:dyDescent="0.4">
      <c r="A51" s="37" t="s">
        <v>266</v>
      </c>
      <c r="B51" s="10" t="s">
        <v>13</v>
      </c>
      <c r="C51" s="10" t="s">
        <v>17</v>
      </c>
      <c r="D51" s="10" t="s">
        <v>28</v>
      </c>
      <c r="E51" s="13" t="s">
        <v>256</v>
      </c>
      <c r="F51" s="10" t="s">
        <v>189</v>
      </c>
      <c r="G51" s="14">
        <v>1958.8</v>
      </c>
      <c r="H51" s="14">
        <v>1690.75</v>
      </c>
      <c r="I51" s="9">
        <f t="shared" si="0"/>
        <v>86.315601388605273</v>
      </c>
    </row>
    <row r="52" spans="1:9" ht="70.5" customHeight="1" x14ac:dyDescent="0.4">
      <c r="A52" s="37" t="s">
        <v>267</v>
      </c>
      <c r="B52" s="10" t="s">
        <v>13</v>
      </c>
      <c r="C52" s="10" t="s">
        <v>17</v>
      </c>
      <c r="D52" s="10" t="s">
        <v>28</v>
      </c>
      <c r="E52" s="13" t="s">
        <v>257</v>
      </c>
      <c r="F52" s="10" t="s">
        <v>189</v>
      </c>
      <c r="G52" s="14">
        <v>1958.8</v>
      </c>
      <c r="H52" s="14">
        <v>1958.8</v>
      </c>
      <c r="I52" s="9">
        <f t="shared" si="0"/>
        <v>100</v>
      </c>
    </row>
    <row r="53" spans="1:9" ht="55" customHeight="1" x14ac:dyDescent="0.4">
      <c r="A53" s="37" t="s">
        <v>444</v>
      </c>
      <c r="B53" s="10" t="s">
        <v>13</v>
      </c>
      <c r="C53" s="10" t="s">
        <v>17</v>
      </c>
      <c r="D53" s="10" t="s">
        <v>28</v>
      </c>
      <c r="E53" s="13" t="s">
        <v>443</v>
      </c>
      <c r="F53" s="10" t="s">
        <v>25</v>
      </c>
      <c r="G53" s="14">
        <v>15000</v>
      </c>
      <c r="H53" s="14">
        <v>15000</v>
      </c>
      <c r="I53" s="9">
        <f t="shared" si="0"/>
        <v>100</v>
      </c>
    </row>
    <row r="54" spans="1:9" ht="71" customHeight="1" x14ac:dyDescent="0.4">
      <c r="A54" s="37" t="s">
        <v>472</v>
      </c>
      <c r="B54" s="10" t="s">
        <v>13</v>
      </c>
      <c r="C54" s="10" t="s">
        <v>17</v>
      </c>
      <c r="D54" s="10" t="s">
        <v>28</v>
      </c>
      <c r="E54" s="13" t="s">
        <v>471</v>
      </c>
      <c r="F54" s="10" t="s">
        <v>25</v>
      </c>
      <c r="G54" s="14">
        <f>152797+19139.01</f>
        <v>171936.01</v>
      </c>
      <c r="H54" s="14">
        <f>152797+19139.01</f>
        <v>171936.01</v>
      </c>
      <c r="I54" s="9">
        <f t="shared" si="0"/>
        <v>100</v>
      </c>
    </row>
    <row r="55" spans="1:9" ht="55.5" customHeight="1" x14ac:dyDescent="0.4">
      <c r="A55" s="34" t="s">
        <v>124</v>
      </c>
      <c r="B55" s="10" t="s">
        <v>13</v>
      </c>
      <c r="C55" s="10" t="s">
        <v>39</v>
      </c>
      <c r="D55" s="10" t="s">
        <v>35</v>
      </c>
      <c r="E55" s="13" t="s">
        <v>125</v>
      </c>
      <c r="F55" s="10" t="s">
        <v>23</v>
      </c>
      <c r="G55" s="14">
        <v>30000</v>
      </c>
      <c r="H55" s="14">
        <v>28672.799999999999</v>
      </c>
      <c r="I55" s="9">
        <f t="shared" si="0"/>
        <v>95.575999999999993</v>
      </c>
    </row>
    <row r="56" spans="1:9" ht="104.5" customHeight="1" x14ac:dyDescent="0.4">
      <c r="A56" s="34" t="s">
        <v>126</v>
      </c>
      <c r="B56" s="10" t="s">
        <v>13</v>
      </c>
      <c r="C56" s="10" t="s">
        <v>39</v>
      </c>
      <c r="D56" s="10" t="s">
        <v>35</v>
      </c>
      <c r="E56" s="13" t="s">
        <v>127</v>
      </c>
      <c r="F56" s="10" t="s">
        <v>23</v>
      </c>
      <c r="G56" s="14">
        <v>4000</v>
      </c>
      <c r="H56" s="14">
        <v>0</v>
      </c>
      <c r="I56" s="9">
        <f t="shared" si="0"/>
        <v>0</v>
      </c>
    </row>
    <row r="57" spans="1:9" ht="72" customHeight="1" x14ac:dyDescent="0.4">
      <c r="A57" s="34" t="s">
        <v>221</v>
      </c>
      <c r="B57" s="10" t="s">
        <v>13</v>
      </c>
      <c r="C57" s="10" t="s">
        <v>39</v>
      </c>
      <c r="D57" s="10" t="s">
        <v>35</v>
      </c>
      <c r="E57" s="13" t="s">
        <v>222</v>
      </c>
      <c r="F57" s="10" t="s">
        <v>23</v>
      </c>
      <c r="G57" s="14">
        <f>350000+500000+300000-800000-1854</f>
        <v>348146</v>
      </c>
      <c r="H57" s="14">
        <v>226807.9</v>
      </c>
      <c r="I57" s="9">
        <f t="shared" si="0"/>
        <v>65.147351973022822</v>
      </c>
    </row>
    <row r="58" spans="1:9" ht="66" x14ac:dyDescent="0.4">
      <c r="A58" s="33" t="s">
        <v>235</v>
      </c>
      <c r="B58" s="10" t="s">
        <v>13</v>
      </c>
      <c r="C58" s="10" t="s">
        <v>39</v>
      </c>
      <c r="D58" s="10" t="s">
        <v>35</v>
      </c>
      <c r="E58" s="13" t="s">
        <v>190</v>
      </c>
      <c r="F58" s="10" t="s">
        <v>189</v>
      </c>
      <c r="G58" s="14">
        <v>146515.31</v>
      </c>
      <c r="H58" s="14">
        <v>146515.31</v>
      </c>
      <c r="I58" s="9">
        <f t="shared" si="0"/>
        <v>100</v>
      </c>
    </row>
    <row r="59" spans="1:9" ht="49.5" x14ac:dyDescent="0.4">
      <c r="A59" s="34" t="s">
        <v>221</v>
      </c>
      <c r="B59" s="10" t="s">
        <v>13</v>
      </c>
      <c r="C59" s="10" t="s">
        <v>39</v>
      </c>
      <c r="D59" s="10" t="s">
        <v>54</v>
      </c>
      <c r="E59" s="13" t="s">
        <v>222</v>
      </c>
      <c r="F59" s="10" t="s">
        <v>23</v>
      </c>
      <c r="G59" s="14">
        <f>800000-247000-356443.5</f>
        <v>196556.5</v>
      </c>
      <c r="H59" s="14">
        <f>800000-247000-356443.5</f>
        <v>196556.5</v>
      </c>
      <c r="I59" s="9">
        <f t="shared" si="0"/>
        <v>100</v>
      </c>
    </row>
    <row r="60" spans="1:9" ht="154.5" customHeight="1" x14ac:dyDescent="0.4">
      <c r="A60" s="33" t="s">
        <v>477</v>
      </c>
      <c r="B60" s="10" t="s">
        <v>13</v>
      </c>
      <c r="C60" s="10" t="s">
        <v>39</v>
      </c>
      <c r="D60" s="10" t="s">
        <v>54</v>
      </c>
      <c r="E60" s="13" t="s">
        <v>476</v>
      </c>
      <c r="F60" s="10" t="s">
        <v>23</v>
      </c>
      <c r="G60" s="14">
        <f>4198856.4+2568540.6</f>
        <v>6767397</v>
      </c>
      <c r="H60" s="14">
        <v>6575619.5999999996</v>
      </c>
      <c r="I60" s="9">
        <f t="shared" si="0"/>
        <v>97.166157091123807</v>
      </c>
    </row>
    <row r="61" spans="1:9" ht="73" customHeight="1" x14ac:dyDescent="0.4">
      <c r="A61" s="34" t="s">
        <v>128</v>
      </c>
      <c r="B61" s="10" t="s">
        <v>13</v>
      </c>
      <c r="C61" s="10" t="s">
        <v>21</v>
      </c>
      <c r="D61" s="10" t="s">
        <v>26</v>
      </c>
      <c r="E61" s="13" t="s">
        <v>38</v>
      </c>
      <c r="F61" s="10" t="s">
        <v>25</v>
      </c>
      <c r="G61" s="14">
        <v>45000</v>
      </c>
      <c r="H61" s="14">
        <v>0</v>
      </c>
      <c r="I61" s="9">
        <f t="shared" si="0"/>
        <v>0</v>
      </c>
    </row>
    <row r="62" spans="1:9" ht="73" customHeight="1" x14ac:dyDescent="0.4">
      <c r="A62" s="34" t="s">
        <v>129</v>
      </c>
      <c r="B62" s="10" t="s">
        <v>13</v>
      </c>
      <c r="C62" s="10" t="s">
        <v>21</v>
      </c>
      <c r="D62" s="10" t="s">
        <v>36</v>
      </c>
      <c r="E62" s="13" t="s">
        <v>37</v>
      </c>
      <c r="F62" s="10" t="s">
        <v>25</v>
      </c>
      <c r="G62" s="14">
        <v>45000</v>
      </c>
      <c r="H62" s="14">
        <v>0</v>
      </c>
      <c r="I62" s="9">
        <f t="shared" si="0"/>
        <v>0</v>
      </c>
    </row>
    <row r="63" spans="1:9" ht="73" customHeight="1" x14ac:dyDescent="0.4">
      <c r="A63" s="34" t="s">
        <v>130</v>
      </c>
      <c r="B63" s="10" t="s">
        <v>13</v>
      </c>
      <c r="C63" s="10" t="s">
        <v>21</v>
      </c>
      <c r="D63" s="10" t="s">
        <v>36</v>
      </c>
      <c r="E63" s="13" t="s">
        <v>131</v>
      </c>
      <c r="F63" s="10" t="s">
        <v>25</v>
      </c>
      <c r="G63" s="14">
        <v>20000</v>
      </c>
      <c r="H63" s="14">
        <v>0</v>
      </c>
      <c r="I63" s="9">
        <f t="shared" si="0"/>
        <v>0</v>
      </c>
    </row>
    <row r="64" spans="1:9" ht="55.5" customHeight="1" x14ac:dyDescent="0.4">
      <c r="A64" s="34" t="s">
        <v>132</v>
      </c>
      <c r="B64" s="10" t="s">
        <v>13</v>
      </c>
      <c r="C64" s="10" t="s">
        <v>21</v>
      </c>
      <c r="D64" s="10" t="s">
        <v>36</v>
      </c>
      <c r="E64" s="13" t="s">
        <v>133</v>
      </c>
      <c r="F64" s="10" t="s">
        <v>25</v>
      </c>
      <c r="G64" s="14">
        <v>25000</v>
      </c>
      <c r="H64" s="14">
        <v>0</v>
      </c>
      <c r="I64" s="9">
        <f t="shared" si="0"/>
        <v>0</v>
      </c>
    </row>
    <row r="65" spans="1:9" ht="55" customHeight="1" x14ac:dyDescent="0.4">
      <c r="A65" s="34" t="s">
        <v>526</v>
      </c>
      <c r="B65" s="10" t="s">
        <v>13</v>
      </c>
      <c r="C65" s="10" t="s">
        <v>26</v>
      </c>
      <c r="D65" s="10" t="s">
        <v>39</v>
      </c>
      <c r="E65" s="13" t="s">
        <v>142</v>
      </c>
      <c r="F65" s="10" t="s">
        <v>23</v>
      </c>
      <c r="G65" s="14">
        <v>6000</v>
      </c>
      <c r="H65" s="14">
        <v>6000</v>
      </c>
      <c r="I65" s="9">
        <f t="shared" si="0"/>
        <v>100</v>
      </c>
    </row>
    <row r="66" spans="1:9" ht="49.5" x14ac:dyDescent="0.4">
      <c r="A66" s="32" t="s">
        <v>40</v>
      </c>
      <c r="B66" s="10" t="s">
        <v>13</v>
      </c>
      <c r="C66" s="10" t="s">
        <v>41</v>
      </c>
      <c r="D66" s="10" t="s">
        <v>39</v>
      </c>
      <c r="E66" s="12" t="s">
        <v>42</v>
      </c>
      <c r="F66" s="10" t="s">
        <v>32</v>
      </c>
      <c r="G66" s="14">
        <f>4061599.32+33509.42+351000+110732.64+11090.04+27850.59+77748.96+14947.29+19600</f>
        <v>4708078.26</v>
      </c>
      <c r="H66" s="14">
        <f>4061599.32+33509.42+351000+110732.64+11090.04+27850.59+77748.96+14947.29+19600</f>
        <v>4708078.26</v>
      </c>
      <c r="I66" s="9">
        <f t="shared" si="0"/>
        <v>100</v>
      </c>
    </row>
    <row r="67" spans="1:9" ht="103.5" customHeight="1" x14ac:dyDescent="0.4">
      <c r="A67" s="33" t="s">
        <v>319</v>
      </c>
      <c r="B67" s="10" t="s">
        <v>13</v>
      </c>
      <c r="C67" s="10" t="s">
        <v>41</v>
      </c>
      <c r="D67" s="10" t="s">
        <v>39</v>
      </c>
      <c r="E67" s="12" t="s">
        <v>280</v>
      </c>
      <c r="F67" s="10" t="s">
        <v>32</v>
      </c>
      <c r="G67" s="14">
        <f>1385478-257801</f>
        <v>1127677</v>
      </c>
      <c r="H67" s="14">
        <f>1385478-257801</f>
        <v>1127677</v>
      </c>
      <c r="I67" s="9">
        <f t="shared" si="0"/>
        <v>100</v>
      </c>
    </row>
    <row r="68" spans="1:9" ht="104.5" customHeight="1" x14ac:dyDescent="0.4">
      <c r="A68" s="32" t="s">
        <v>193</v>
      </c>
      <c r="B68" s="10" t="s">
        <v>13</v>
      </c>
      <c r="C68" s="10" t="s">
        <v>41</v>
      </c>
      <c r="D68" s="10" t="s">
        <v>39</v>
      </c>
      <c r="E68" s="12" t="s">
        <v>185</v>
      </c>
      <c r="F68" s="10" t="s">
        <v>32</v>
      </c>
      <c r="G68" s="14">
        <f>77341.47-65950.79</f>
        <v>11390.680000000008</v>
      </c>
      <c r="H68" s="14">
        <f>77341.47-65950.79</f>
        <v>11390.680000000008</v>
      </c>
      <c r="I68" s="9">
        <f t="shared" si="0"/>
        <v>100</v>
      </c>
    </row>
    <row r="69" spans="1:9" ht="52.5" customHeight="1" x14ac:dyDescent="0.4">
      <c r="A69" s="32" t="s">
        <v>350</v>
      </c>
      <c r="B69" s="10" t="s">
        <v>13</v>
      </c>
      <c r="C69" s="10" t="s">
        <v>41</v>
      </c>
      <c r="D69" s="10" t="s">
        <v>39</v>
      </c>
      <c r="E69" s="12" t="s">
        <v>349</v>
      </c>
      <c r="F69" s="10" t="s">
        <v>32</v>
      </c>
      <c r="G69" s="14">
        <f>6000+100000+164949.74</f>
        <v>270949.74</v>
      </c>
      <c r="H69" s="14">
        <f>6000+100000+164949.74</f>
        <v>270949.74</v>
      </c>
      <c r="I69" s="9">
        <f t="shared" si="0"/>
        <v>100</v>
      </c>
    </row>
    <row r="70" spans="1:9" ht="71" customHeight="1" x14ac:dyDescent="0.4">
      <c r="A70" s="33" t="s">
        <v>237</v>
      </c>
      <c r="B70" s="21" t="s">
        <v>13</v>
      </c>
      <c r="C70" s="21" t="s">
        <v>41</v>
      </c>
      <c r="D70" s="21" t="s">
        <v>39</v>
      </c>
      <c r="E70" s="20" t="s">
        <v>229</v>
      </c>
      <c r="F70" s="21" t="s">
        <v>32</v>
      </c>
      <c r="G70" s="14">
        <v>10000</v>
      </c>
      <c r="H70" s="14">
        <v>10000</v>
      </c>
      <c r="I70" s="9">
        <f t="shared" si="0"/>
        <v>100</v>
      </c>
    </row>
    <row r="71" spans="1:9" ht="70" customHeight="1" x14ac:dyDescent="0.4">
      <c r="A71" s="34" t="s">
        <v>194</v>
      </c>
      <c r="B71" s="10" t="s">
        <v>13</v>
      </c>
      <c r="C71" s="10" t="s">
        <v>41</v>
      </c>
      <c r="D71" s="10" t="s">
        <v>39</v>
      </c>
      <c r="E71" s="13" t="s">
        <v>187</v>
      </c>
      <c r="F71" s="10" t="s">
        <v>32</v>
      </c>
      <c r="G71" s="14">
        <v>18000</v>
      </c>
      <c r="H71" s="14">
        <v>18000</v>
      </c>
      <c r="I71" s="9">
        <f t="shared" si="0"/>
        <v>100</v>
      </c>
    </row>
    <row r="72" spans="1:9" ht="85.5" customHeight="1" x14ac:dyDescent="0.4">
      <c r="A72" s="38" t="s">
        <v>100</v>
      </c>
      <c r="B72" s="10" t="s">
        <v>13</v>
      </c>
      <c r="C72" s="10" t="s">
        <v>41</v>
      </c>
      <c r="D72" s="10" t="s">
        <v>26</v>
      </c>
      <c r="E72" s="13" t="s">
        <v>89</v>
      </c>
      <c r="F72" s="10" t="s">
        <v>23</v>
      </c>
      <c r="G72" s="14">
        <f>30000-2600</f>
        <v>27400</v>
      </c>
      <c r="H72" s="14">
        <f>30000-2600</f>
        <v>27400</v>
      </c>
      <c r="I72" s="9">
        <f t="shared" si="0"/>
        <v>100</v>
      </c>
    </row>
    <row r="73" spans="1:9" ht="71.5" customHeight="1" x14ac:dyDescent="0.4">
      <c r="A73" s="32" t="s">
        <v>134</v>
      </c>
      <c r="B73" s="10" t="s">
        <v>13</v>
      </c>
      <c r="C73" s="10" t="s">
        <v>41</v>
      </c>
      <c r="D73" s="10" t="s">
        <v>41</v>
      </c>
      <c r="E73" s="13" t="s">
        <v>43</v>
      </c>
      <c r="F73" s="10" t="s">
        <v>23</v>
      </c>
      <c r="G73" s="14">
        <v>8000</v>
      </c>
      <c r="H73" s="14">
        <v>8000</v>
      </c>
      <c r="I73" s="9">
        <f t="shared" si="0"/>
        <v>100</v>
      </c>
    </row>
    <row r="74" spans="1:9" ht="72.5" customHeight="1" x14ac:dyDescent="0.4">
      <c r="A74" s="32" t="s">
        <v>179</v>
      </c>
      <c r="B74" s="10" t="s">
        <v>13</v>
      </c>
      <c r="C74" s="10" t="s">
        <v>41</v>
      </c>
      <c r="D74" s="10" t="s">
        <v>41</v>
      </c>
      <c r="E74" s="13" t="s">
        <v>43</v>
      </c>
      <c r="F74" s="10" t="s">
        <v>32</v>
      </c>
      <c r="G74" s="14">
        <f>22000-19600</f>
        <v>2400</v>
      </c>
      <c r="H74" s="14">
        <f>22000-19600</f>
        <v>2400</v>
      </c>
      <c r="I74" s="9">
        <f t="shared" si="0"/>
        <v>100</v>
      </c>
    </row>
    <row r="75" spans="1:9" ht="66" x14ac:dyDescent="0.4">
      <c r="A75" s="32" t="s">
        <v>91</v>
      </c>
      <c r="B75" s="10" t="s">
        <v>13</v>
      </c>
      <c r="C75" s="10" t="s">
        <v>41</v>
      </c>
      <c r="D75" s="10" t="s">
        <v>41</v>
      </c>
      <c r="E75" s="13" t="s">
        <v>135</v>
      </c>
      <c r="F75" s="10" t="s">
        <v>23</v>
      </c>
      <c r="G75" s="14">
        <v>4300</v>
      </c>
      <c r="H75" s="14">
        <v>4299.96</v>
      </c>
      <c r="I75" s="9">
        <f t="shared" si="0"/>
        <v>99.999069767441867</v>
      </c>
    </row>
    <row r="76" spans="1:9" ht="56.5" customHeight="1" x14ac:dyDescent="0.4">
      <c r="A76" s="32" t="s">
        <v>148</v>
      </c>
      <c r="B76" s="10" t="s">
        <v>13</v>
      </c>
      <c r="C76" s="10" t="s">
        <v>41</v>
      </c>
      <c r="D76" s="10" t="s">
        <v>41</v>
      </c>
      <c r="E76" s="13" t="s">
        <v>149</v>
      </c>
      <c r="F76" s="10" t="s">
        <v>23</v>
      </c>
      <c r="G76" s="14">
        <f>104800-80150</f>
        <v>24650</v>
      </c>
      <c r="H76" s="14">
        <f>104800-80150</f>
        <v>24650</v>
      </c>
      <c r="I76" s="9">
        <f t="shared" si="0"/>
        <v>100</v>
      </c>
    </row>
    <row r="77" spans="1:9" ht="53" customHeight="1" x14ac:dyDescent="0.4">
      <c r="A77" s="39" t="s">
        <v>268</v>
      </c>
      <c r="B77" s="10" t="s">
        <v>13</v>
      </c>
      <c r="C77" s="10" t="s">
        <v>41</v>
      </c>
      <c r="D77" s="10" t="s">
        <v>41</v>
      </c>
      <c r="E77" s="13" t="s">
        <v>258</v>
      </c>
      <c r="F77" s="10" t="s">
        <v>23</v>
      </c>
      <c r="G77" s="14">
        <v>10000</v>
      </c>
      <c r="H77" s="14">
        <v>9840</v>
      </c>
      <c r="I77" s="9">
        <f t="shared" si="0"/>
        <v>98.4</v>
      </c>
    </row>
    <row r="78" spans="1:9" ht="39.5" customHeight="1" x14ac:dyDescent="0.4">
      <c r="A78" s="34" t="s">
        <v>136</v>
      </c>
      <c r="B78" s="10" t="s">
        <v>13</v>
      </c>
      <c r="C78" s="10" t="s">
        <v>41</v>
      </c>
      <c r="D78" s="10" t="s">
        <v>41</v>
      </c>
      <c r="E78" s="13" t="s">
        <v>137</v>
      </c>
      <c r="F78" s="10" t="s">
        <v>23</v>
      </c>
      <c r="G78" s="14">
        <v>10000</v>
      </c>
      <c r="H78" s="14">
        <v>10000</v>
      </c>
      <c r="I78" s="9">
        <f t="shared" si="0"/>
        <v>100</v>
      </c>
    </row>
    <row r="79" spans="1:9" ht="38" customHeight="1" x14ac:dyDescent="0.4">
      <c r="A79" s="34" t="s">
        <v>138</v>
      </c>
      <c r="B79" s="10" t="s">
        <v>13</v>
      </c>
      <c r="C79" s="10" t="s">
        <v>41</v>
      </c>
      <c r="D79" s="10" t="s">
        <v>41</v>
      </c>
      <c r="E79" s="13" t="s">
        <v>139</v>
      </c>
      <c r="F79" s="10" t="s">
        <v>23</v>
      </c>
      <c r="G79" s="14">
        <v>10000</v>
      </c>
      <c r="H79" s="14">
        <v>9000</v>
      </c>
      <c r="I79" s="9">
        <f t="shared" si="0"/>
        <v>90</v>
      </c>
    </row>
    <row r="80" spans="1:9" ht="55" customHeight="1" x14ac:dyDescent="0.4">
      <c r="A80" s="34" t="s">
        <v>140</v>
      </c>
      <c r="B80" s="10" t="s">
        <v>13</v>
      </c>
      <c r="C80" s="10" t="s">
        <v>41</v>
      </c>
      <c r="D80" s="10" t="s">
        <v>41</v>
      </c>
      <c r="E80" s="13" t="s">
        <v>141</v>
      </c>
      <c r="F80" s="10" t="s">
        <v>23</v>
      </c>
      <c r="G80" s="14">
        <f>81000+168500+106000-205588</f>
        <v>149912</v>
      </c>
      <c r="H80" s="14">
        <v>146212</v>
      </c>
      <c r="I80" s="9">
        <f t="shared" si="0"/>
        <v>97.531885372752015</v>
      </c>
    </row>
    <row r="81" spans="1:9" ht="69.5" customHeight="1" x14ac:dyDescent="0.4">
      <c r="A81" s="32" t="s">
        <v>92</v>
      </c>
      <c r="B81" s="10" t="s">
        <v>13</v>
      </c>
      <c r="C81" s="10" t="s">
        <v>41</v>
      </c>
      <c r="D81" s="10" t="s">
        <v>41</v>
      </c>
      <c r="E81" s="13" t="s">
        <v>44</v>
      </c>
      <c r="F81" s="10" t="s">
        <v>23</v>
      </c>
      <c r="G81" s="14">
        <v>10000</v>
      </c>
      <c r="H81" s="14">
        <v>10000</v>
      </c>
      <c r="I81" s="9">
        <f t="shared" si="0"/>
        <v>100</v>
      </c>
    </row>
    <row r="82" spans="1:9" ht="52" customHeight="1" x14ac:dyDescent="0.4">
      <c r="A82" s="33" t="s">
        <v>232</v>
      </c>
      <c r="B82" s="10" t="s">
        <v>13</v>
      </c>
      <c r="C82" s="10" t="s">
        <v>41</v>
      </c>
      <c r="D82" s="10" t="s">
        <v>41</v>
      </c>
      <c r="E82" s="12" t="s">
        <v>231</v>
      </c>
      <c r="F82" s="10" t="s">
        <v>23</v>
      </c>
      <c r="G82" s="14">
        <v>5000</v>
      </c>
      <c r="H82" s="14">
        <v>4970</v>
      </c>
      <c r="I82" s="9">
        <f t="shared" ref="I82:I106" si="1">H82/G82*100</f>
        <v>99.4</v>
      </c>
    </row>
    <row r="83" spans="1:9" ht="86.5" customHeight="1" x14ac:dyDescent="0.4">
      <c r="A83" s="32" t="s">
        <v>45</v>
      </c>
      <c r="B83" s="10" t="s">
        <v>13</v>
      </c>
      <c r="C83" s="10" t="s">
        <v>34</v>
      </c>
      <c r="D83" s="10" t="s">
        <v>17</v>
      </c>
      <c r="E83" s="13" t="s">
        <v>46</v>
      </c>
      <c r="F83" s="10" t="s">
        <v>20</v>
      </c>
      <c r="G83" s="14">
        <f>10859594.3+248098.62+82108.95+250022.36+14871.81</f>
        <v>11454696.039999999</v>
      </c>
      <c r="H83" s="14">
        <f>10859594.3+248098.62+82108.95+250022.36+14871.81</f>
        <v>11454696.039999999</v>
      </c>
      <c r="I83" s="9">
        <f t="shared" si="1"/>
        <v>100</v>
      </c>
    </row>
    <row r="84" spans="1:9" ht="49.5" x14ac:dyDescent="0.4">
      <c r="A84" s="32" t="s">
        <v>93</v>
      </c>
      <c r="B84" s="10" t="s">
        <v>13</v>
      </c>
      <c r="C84" s="10" t="s">
        <v>34</v>
      </c>
      <c r="D84" s="10" t="s">
        <v>17</v>
      </c>
      <c r="E84" s="13" t="s">
        <v>46</v>
      </c>
      <c r="F84" s="10" t="s">
        <v>23</v>
      </c>
      <c r="G84" s="14">
        <f>2218822.23+95133.96+15014.39+50000+590902.49+280000+302598.29</f>
        <v>3552471.3600000003</v>
      </c>
      <c r="H84" s="14">
        <v>3475265.94</v>
      </c>
      <c r="I84" s="9">
        <f t="shared" si="1"/>
        <v>97.826712387626387</v>
      </c>
    </row>
    <row r="85" spans="1:9" ht="33" x14ac:dyDescent="0.4">
      <c r="A85" s="32" t="s">
        <v>47</v>
      </c>
      <c r="B85" s="10" t="s">
        <v>13</v>
      </c>
      <c r="C85" s="10" t="s">
        <v>34</v>
      </c>
      <c r="D85" s="10" t="s">
        <v>17</v>
      </c>
      <c r="E85" s="12" t="s">
        <v>46</v>
      </c>
      <c r="F85" s="10" t="s">
        <v>25</v>
      </c>
      <c r="G85" s="14">
        <v>13600</v>
      </c>
      <c r="H85" s="14">
        <v>13595.94</v>
      </c>
      <c r="I85" s="9">
        <f t="shared" si="1"/>
        <v>99.970147058823528</v>
      </c>
    </row>
    <row r="86" spans="1:9" ht="89" customHeight="1" x14ac:dyDescent="0.4">
      <c r="A86" s="32" t="s">
        <v>48</v>
      </c>
      <c r="B86" s="10" t="s">
        <v>13</v>
      </c>
      <c r="C86" s="10" t="s">
        <v>34</v>
      </c>
      <c r="D86" s="10" t="s">
        <v>17</v>
      </c>
      <c r="E86" s="13" t="s">
        <v>49</v>
      </c>
      <c r="F86" s="10" t="s">
        <v>20</v>
      </c>
      <c r="G86" s="14">
        <f>436737.12+19530.03</f>
        <v>456267.15</v>
      </c>
      <c r="H86" s="14">
        <f>436737.12+19530.03</f>
        <v>456267.15</v>
      </c>
      <c r="I86" s="9">
        <f t="shared" si="1"/>
        <v>100</v>
      </c>
    </row>
    <row r="87" spans="1:9" ht="53" customHeight="1" x14ac:dyDescent="0.4">
      <c r="A87" s="32" t="s">
        <v>94</v>
      </c>
      <c r="B87" s="10" t="s">
        <v>13</v>
      </c>
      <c r="C87" s="10" t="s">
        <v>34</v>
      </c>
      <c r="D87" s="10" t="s">
        <v>17</v>
      </c>
      <c r="E87" s="12" t="s">
        <v>49</v>
      </c>
      <c r="F87" s="10" t="s">
        <v>23</v>
      </c>
      <c r="G87" s="14">
        <f>363668-7000</f>
        <v>356668</v>
      </c>
      <c r="H87" s="14">
        <v>356613.03</v>
      </c>
      <c r="I87" s="9">
        <f t="shared" si="1"/>
        <v>99.984587908082588</v>
      </c>
    </row>
    <row r="88" spans="1:9" ht="55.5" customHeight="1" x14ac:dyDescent="0.4">
      <c r="A88" s="33" t="s">
        <v>325</v>
      </c>
      <c r="B88" s="10" t="s">
        <v>13</v>
      </c>
      <c r="C88" s="10" t="s">
        <v>34</v>
      </c>
      <c r="D88" s="10" t="s">
        <v>17</v>
      </c>
      <c r="E88" s="12" t="s">
        <v>324</v>
      </c>
      <c r="F88" s="10" t="s">
        <v>23</v>
      </c>
      <c r="G88" s="14">
        <v>200000</v>
      </c>
      <c r="H88" s="14">
        <v>199904.16</v>
      </c>
      <c r="I88" s="9">
        <f t="shared" si="1"/>
        <v>99.952079999999995</v>
      </c>
    </row>
    <row r="89" spans="1:9" ht="120.5" customHeight="1" x14ac:dyDescent="0.4">
      <c r="A89" s="33" t="s">
        <v>279</v>
      </c>
      <c r="B89" s="10" t="s">
        <v>13</v>
      </c>
      <c r="C89" s="10" t="s">
        <v>34</v>
      </c>
      <c r="D89" s="10" t="s">
        <v>17</v>
      </c>
      <c r="E89" s="12" t="s">
        <v>281</v>
      </c>
      <c r="F89" s="10" t="s">
        <v>20</v>
      </c>
      <c r="G89" s="14">
        <f>5640876+121781</f>
        <v>5762657</v>
      </c>
      <c r="H89" s="14">
        <f>5640876+121781</f>
        <v>5762657</v>
      </c>
      <c r="I89" s="9">
        <f t="shared" si="1"/>
        <v>100</v>
      </c>
    </row>
    <row r="90" spans="1:9" ht="123" customHeight="1" x14ac:dyDescent="0.4">
      <c r="A90" s="33" t="s">
        <v>405</v>
      </c>
      <c r="B90" s="10" t="s">
        <v>13</v>
      </c>
      <c r="C90" s="10" t="s">
        <v>34</v>
      </c>
      <c r="D90" s="10" t="s">
        <v>17</v>
      </c>
      <c r="E90" s="15" t="s">
        <v>50</v>
      </c>
      <c r="F90" s="10" t="s">
        <v>20</v>
      </c>
      <c r="G90" s="14">
        <f>50000+7000+1208.66</f>
        <v>58208.66</v>
      </c>
      <c r="H90" s="14">
        <f>50000+7000+1208.66</f>
        <v>58208.66</v>
      </c>
      <c r="I90" s="9">
        <f t="shared" si="1"/>
        <v>100</v>
      </c>
    </row>
    <row r="91" spans="1:9" ht="83.5" customHeight="1" x14ac:dyDescent="0.4">
      <c r="A91" s="32" t="s">
        <v>203</v>
      </c>
      <c r="B91" s="10" t="s">
        <v>13</v>
      </c>
      <c r="C91" s="10" t="s">
        <v>34</v>
      </c>
      <c r="D91" s="10" t="s">
        <v>17</v>
      </c>
      <c r="E91" s="13" t="s">
        <v>51</v>
      </c>
      <c r="F91" s="10" t="s">
        <v>23</v>
      </c>
      <c r="G91" s="14">
        <v>220000</v>
      </c>
      <c r="H91" s="14">
        <v>220000</v>
      </c>
      <c r="I91" s="9">
        <f t="shared" si="1"/>
        <v>100</v>
      </c>
    </row>
    <row r="92" spans="1:9" ht="73.5" customHeight="1" x14ac:dyDescent="0.4">
      <c r="A92" s="32" t="s">
        <v>434</v>
      </c>
      <c r="B92" s="10" t="s">
        <v>13</v>
      </c>
      <c r="C92" s="10" t="s">
        <v>34</v>
      </c>
      <c r="D92" s="10" t="s">
        <v>17</v>
      </c>
      <c r="E92" s="13" t="s">
        <v>420</v>
      </c>
      <c r="F92" s="10" t="s">
        <v>23</v>
      </c>
      <c r="G92" s="14">
        <f>102348+1033.82</f>
        <v>103381.82</v>
      </c>
      <c r="H92" s="14">
        <f>102348+1033.82</f>
        <v>103381.82</v>
      </c>
      <c r="I92" s="9">
        <f t="shared" si="1"/>
        <v>100</v>
      </c>
    </row>
    <row r="93" spans="1:9" ht="56.5" customHeight="1" x14ac:dyDescent="0.4">
      <c r="A93" s="32" t="s">
        <v>159</v>
      </c>
      <c r="B93" s="10" t="s">
        <v>13</v>
      </c>
      <c r="C93" s="10" t="s">
        <v>34</v>
      </c>
      <c r="D93" s="10" t="s">
        <v>17</v>
      </c>
      <c r="E93" s="13" t="s">
        <v>157</v>
      </c>
      <c r="F93" s="10" t="s">
        <v>23</v>
      </c>
      <c r="G93" s="14">
        <v>50000</v>
      </c>
      <c r="H93" s="14">
        <v>49994.06</v>
      </c>
      <c r="I93" s="9">
        <f t="shared" si="1"/>
        <v>99.988119999999995</v>
      </c>
    </row>
    <row r="94" spans="1:9" ht="33" x14ac:dyDescent="0.4">
      <c r="A94" s="32" t="s">
        <v>95</v>
      </c>
      <c r="B94" s="10" t="s">
        <v>13</v>
      </c>
      <c r="C94" s="10" t="s">
        <v>34</v>
      </c>
      <c r="D94" s="10" t="s">
        <v>17</v>
      </c>
      <c r="E94" s="12" t="s">
        <v>52</v>
      </c>
      <c r="F94" s="10" t="s">
        <v>23</v>
      </c>
      <c r="G94" s="14">
        <f>50000+443112</f>
        <v>493112</v>
      </c>
      <c r="H94" s="14">
        <v>492902.19</v>
      </c>
      <c r="I94" s="9">
        <f t="shared" si="1"/>
        <v>99.957451856778988</v>
      </c>
    </row>
    <row r="95" spans="1:9" ht="49.5" x14ac:dyDescent="0.4">
      <c r="A95" s="33" t="s">
        <v>362</v>
      </c>
      <c r="B95" s="10" t="s">
        <v>13</v>
      </c>
      <c r="C95" s="10" t="s">
        <v>34</v>
      </c>
      <c r="D95" s="10" t="s">
        <v>17</v>
      </c>
      <c r="E95" s="12" t="s">
        <v>361</v>
      </c>
      <c r="F95" s="10" t="s">
        <v>23</v>
      </c>
      <c r="G95" s="14">
        <f>505050.51+590902.49-590902.49</f>
        <v>505050.51</v>
      </c>
      <c r="H95" s="14">
        <f>505050.51+590902.49-590902.49</f>
        <v>505050.51</v>
      </c>
      <c r="I95" s="9">
        <f t="shared" si="1"/>
        <v>100</v>
      </c>
    </row>
    <row r="96" spans="1:9" ht="56" customHeight="1" x14ac:dyDescent="0.4">
      <c r="A96" s="32" t="s">
        <v>302</v>
      </c>
      <c r="B96" s="10" t="s">
        <v>13</v>
      </c>
      <c r="C96" s="10" t="s">
        <v>34</v>
      </c>
      <c r="D96" s="10" t="s">
        <v>17</v>
      </c>
      <c r="E96" s="13" t="s">
        <v>53</v>
      </c>
      <c r="F96" s="10" t="s">
        <v>23</v>
      </c>
      <c r="G96" s="14">
        <f>10000+20000</f>
        <v>30000</v>
      </c>
      <c r="H96" s="14">
        <v>23304</v>
      </c>
      <c r="I96" s="9">
        <f t="shared" si="1"/>
        <v>77.680000000000007</v>
      </c>
    </row>
    <row r="97" spans="1:9" ht="42.5" customHeight="1" x14ac:dyDescent="0.4">
      <c r="A97" s="32" t="s">
        <v>195</v>
      </c>
      <c r="B97" s="10" t="s">
        <v>13</v>
      </c>
      <c r="C97" s="10" t="s">
        <v>54</v>
      </c>
      <c r="D97" s="10" t="s">
        <v>17</v>
      </c>
      <c r="E97" s="13" t="s">
        <v>188</v>
      </c>
      <c r="F97" s="10" t="s">
        <v>55</v>
      </c>
      <c r="G97" s="14">
        <f>1562099.33+226123.92+29002.87+107504.43</f>
        <v>1924730.55</v>
      </c>
      <c r="H97" s="14">
        <f>1562099.33+226123.92+29002.87+107504.43</f>
        <v>1924730.55</v>
      </c>
      <c r="I97" s="9">
        <f t="shared" si="1"/>
        <v>100</v>
      </c>
    </row>
    <row r="98" spans="1:9" ht="58.5" customHeight="1" x14ac:dyDescent="0.4">
      <c r="A98" s="32" t="s">
        <v>352</v>
      </c>
      <c r="B98" s="10" t="s">
        <v>13</v>
      </c>
      <c r="C98" s="10" t="s">
        <v>54</v>
      </c>
      <c r="D98" s="10" t="s">
        <v>39</v>
      </c>
      <c r="E98" s="13" t="s">
        <v>351</v>
      </c>
      <c r="F98" s="10" t="s">
        <v>55</v>
      </c>
      <c r="G98" s="14">
        <v>140000</v>
      </c>
      <c r="H98" s="14">
        <v>0</v>
      </c>
      <c r="I98" s="9">
        <f t="shared" si="1"/>
        <v>0</v>
      </c>
    </row>
    <row r="99" spans="1:9" ht="86" customHeight="1" x14ac:dyDescent="0.4">
      <c r="A99" s="34" t="s">
        <v>204</v>
      </c>
      <c r="B99" s="10" t="s">
        <v>13</v>
      </c>
      <c r="C99" s="10" t="s">
        <v>54</v>
      </c>
      <c r="D99" s="10" t="s">
        <v>39</v>
      </c>
      <c r="E99" s="13" t="s">
        <v>303</v>
      </c>
      <c r="F99" s="10" t="s">
        <v>55</v>
      </c>
      <c r="G99" s="14">
        <v>37260</v>
      </c>
      <c r="H99" s="14">
        <v>0</v>
      </c>
      <c r="I99" s="9">
        <f t="shared" si="1"/>
        <v>0</v>
      </c>
    </row>
    <row r="100" spans="1:9" ht="71.5" customHeight="1" x14ac:dyDescent="0.4">
      <c r="A100" s="34" t="s">
        <v>474</v>
      </c>
      <c r="B100" s="10" t="s">
        <v>13</v>
      </c>
      <c r="C100" s="10" t="s">
        <v>54</v>
      </c>
      <c r="D100" s="10" t="s">
        <v>39</v>
      </c>
      <c r="E100" s="13" t="s">
        <v>473</v>
      </c>
      <c r="F100" s="10" t="s">
        <v>55</v>
      </c>
      <c r="G100" s="14">
        <v>20000</v>
      </c>
      <c r="H100" s="14">
        <v>20000</v>
      </c>
      <c r="I100" s="9">
        <f t="shared" si="1"/>
        <v>100</v>
      </c>
    </row>
    <row r="101" spans="1:9" ht="57.5" customHeight="1" x14ac:dyDescent="0.4">
      <c r="A101" s="33" t="s">
        <v>174</v>
      </c>
      <c r="B101" s="10" t="s">
        <v>13</v>
      </c>
      <c r="C101" s="10" t="s">
        <v>27</v>
      </c>
      <c r="D101" s="10" t="s">
        <v>18</v>
      </c>
      <c r="E101" s="13" t="s">
        <v>142</v>
      </c>
      <c r="F101" s="10" t="s">
        <v>23</v>
      </c>
      <c r="G101" s="14">
        <f>100000+69502+73160+118000+80150-106000+193588-6000</f>
        <v>522400</v>
      </c>
      <c r="H101" s="14">
        <v>521264</v>
      </c>
      <c r="I101" s="9">
        <f t="shared" si="1"/>
        <v>99.782542113323132</v>
      </c>
    </row>
    <row r="102" spans="1:9" ht="44" customHeight="1" x14ac:dyDescent="0.4">
      <c r="A102" s="33" t="s">
        <v>259</v>
      </c>
      <c r="B102" s="10" t="s">
        <v>13</v>
      </c>
      <c r="C102" s="10" t="s">
        <v>27</v>
      </c>
      <c r="D102" s="10" t="s">
        <v>18</v>
      </c>
      <c r="E102" s="13" t="s">
        <v>142</v>
      </c>
      <c r="F102" s="10" t="s">
        <v>25</v>
      </c>
      <c r="G102" s="14">
        <f>30000+8000</f>
        <v>38000</v>
      </c>
      <c r="H102" s="14">
        <f>30000+8000</f>
        <v>38000</v>
      </c>
      <c r="I102" s="9">
        <f t="shared" si="1"/>
        <v>100</v>
      </c>
    </row>
    <row r="103" spans="1:9" ht="90" customHeight="1" x14ac:dyDescent="0.4">
      <c r="A103" s="35" t="s">
        <v>305</v>
      </c>
      <c r="B103" s="10" t="s">
        <v>13</v>
      </c>
      <c r="C103" s="10" t="s">
        <v>27</v>
      </c>
      <c r="D103" s="10" t="s">
        <v>18</v>
      </c>
      <c r="E103" s="13" t="s">
        <v>304</v>
      </c>
      <c r="F103" s="10" t="s">
        <v>20</v>
      </c>
      <c r="G103" s="14">
        <f>2367633.81+38664.72+12796.2-231470.68+72637.49+18769.37+31648.4+22760.49</f>
        <v>2333439.8000000007</v>
      </c>
      <c r="H103" s="14">
        <v>2312639.4900000002</v>
      </c>
      <c r="I103" s="9">
        <f t="shared" si="1"/>
        <v>99.108598816219711</v>
      </c>
    </row>
    <row r="104" spans="1:9" ht="59" customHeight="1" x14ac:dyDescent="0.4">
      <c r="A104" s="35" t="s">
        <v>306</v>
      </c>
      <c r="B104" s="10" t="s">
        <v>13</v>
      </c>
      <c r="C104" s="10" t="s">
        <v>27</v>
      </c>
      <c r="D104" s="10" t="s">
        <v>18</v>
      </c>
      <c r="E104" s="13" t="s">
        <v>304</v>
      </c>
      <c r="F104" s="10" t="s">
        <v>23</v>
      </c>
      <c r="G104" s="14">
        <f>200000+437.25-69502+90000+12000</f>
        <v>232935.25</v>
      </c>
      <c r="H104" s="14">
        <v>225692.57</v>
      </c>
      <c r="I104" s="9">
        <f t="shared" si="1"/>
        <v>96.890689580044238</v>
      </c>
    </row>
    <row r="105" spans="1:9" ht="42" customHeight="1" x14ac:dyDescent="0.4">
      <c r="A105" s="35" t="s">
        <v>307</v>
      </c>
      <c r="B105" s="10" t="s">
        <v>13</v>
      </c>
      <c r="C105" s="10" t="s">
        <v>27</v>
      </c>
      <c r="D105" s="10" t="s">
        <v>18</v>
      </c>
      <c r="E105" s="13" t="s">
        <v>304</v>
      </c>
      <c r="F105" s="10" t="s">
        <v>25</v>
      </c>
      <c r="G105" s="14">
        <v>1500</v>
      </c>
      <c r="H105" s="14">
        <v>0</v>
      </c>
      <c r="I105" s="9">
        <f t="shared" si="1"/>
        <v>0</v>
      </c>
    </row>
    <row r="106" spans="1:9" ht="122.5" customHeight="1" x14ac:dyDescent="0.4">
      <c r="A106" s="35" t="s">
        <v>485</v>
      </c>
      <c r="B106" s="10" t="s">
        <v>13</v>
      </c>
      <c r="C106" s="10" t="s">
        <v>27</v>
      </c>
      <c r="D106" s="10" t="s">
        <v>18</v>
      </c>
      <c r="E106" s="13" t="s">
        <v>368</v>
      </c>
      <c r="F106" s="10" t="s">
        <v>20</v>
      </c>
      <c r="G106" s="14">
        <v>60000</v>
      </c>
      <c r="H106" s="14">
        <v>19893.259999999998</v>
      </c>
      <c r="I106" s="9">
        <f t="shared" si="1"/>
        <v>33.155433333333328</v>
      </c>
    </row>
    <row r="107" spans="1:9" s="5" customFormat="1" ht="31" customHeight="1" x14ac:dyDescent="0.35">
      <c r="A107" s="48" t="s">
        <v>406</v>
      </c>
      <c r="B107" s="46" t="s">
        <v>56</v>
      </c>
      <c r="C107" s="46" t="s">
        <v>14</v>
      </c>
      <c r="D107" s="46" t="s">
        <v>14</v>
      </c>
      <c r="E107" s="46" t="s">
        <v>15</v>
      </c>
      <c r="F107" s="46" t="s">
        <v>16</v>
      </c>
      <c r="G107" s="49">
        <f>SUM(G108:G115)</f>
        <v>3666069.1100000003</v>
      </c>
      <c r="H107" s="49">
        <f>SUM(H108:H115)</f>
        <v>3557756.45</v>
      </c>
      <c r="I107" s="49">
        <f>H107/G107*100</f>
        <v>97.045536874780851</v>
      </c>
    </row>
    <row r="108" spans="1:9" s="5" customFormat="1" ht="51" customHeight="1" x14ac:dyDescent="0.35">
      <c r="A108" s="34" t="s">
        <v>192</v>
      </c>
      <c r="B108" s="10" t="s">
        <v>56</v>
      </c>
      <c r="C108" s="10" t="s">
        <v>17</v>
      </c>
      <c r="D108" s="10" t="s">
        <v>39</v>
      </c>
      <c r="E108" s="10" t="s">
        <v>187</v>
      </c>
      <c r="F108" s="10" t="s">
        <v>23</v>
      </c>
      <c r="G108" s="11">
        <v>6000</v>
      </c>
      <c r="H108" s="11">
        <v>6000</v>
      </c>
      <c r="I108" s="9">
        <f>H108/G108*100</f>
        <v>100</v>
      </c>
    </row>
    <row r="109" spans="1:9" ht="85" customHeight="1" x14ac:dyDescent="0.4">
      <c r="A109" s="40" t="s">
        <v>182</v>
      </c>
      <c r="B109" s="10" t="s">
        <v>56</v>
      </c>
      <c r="C109" s="10" t="s">
        <v>17</v>
      </c>
      <c r="D109" s="10" t="s">
        <v>39</v>
      </c>
      <c r="E109" s="13" t="s">
        <v>59</v>
      </c>
      <c r="F109" s="10" t="s">
        <v>20</v>
      </c>
      <c r="G109" s="14">
        <f>1486549.78+19363.54+19280.86+121213.06</f>
        <v>1646407.2400000002</v>
      </c>
      <c r="H109" s="14">
        <v>1640065.67</v>
      </c>
      <c r="I109" s="9">
        <f t="shared" ref="I109:I115" si="2">H109/G109*100</f>
        <v>99.614823729759578</v>
      </c>
    </row>
    <row r="110" spans="1:9" ht="59.25" customHeight="1" x14ac:dyDescent="0.4">
      <c r="A110" s="41" t="s">
        <v>101</v>
      </c>
      <c r="B110" s="10" t="s">
        <v>56</v>
      </c>
      <c r="C110" s="10" t="s">
        <v>17</v>
      </c>
      <c r="D110" s="10" t="s">
        <v>39</v>
      </c>
      <c r="E110" s="13" t="s">
        <v>59</v>
      </c>
      <c r="F110" s="10" t="s">
        <v>23</v>
      </c>
      <c r="G110" s="14">
        <v>366446</v>
      </c>
      <c r="H110" s="14">
        <v>324501.58</v>
      </c>
      <c r="I110" s="9">
        <f t="shared" si="2"/>
        <v>88.553724150352309</v>
      </c>
    </row>
    <row r="111" spans="1:9" ht="44.25" customHeight="1" x14ac:dyDescent="0.4">
      <c r="A111" s="41" t="s">
        <v>102</v>
      </c>
      <c r="B111" s="10" t="s">
        <v>56</v>
      </c>
      <c r="C111" s="17" t="s">
        <v>17</v>
      </c>
      <c r="D111" s="10" t="s">
        <v>39</v>
      </c>
      <c r="E111" s="13" t="s">
        <v>59</v>
      </c>
      <c r="F111" s="10" t="s">
        <v>25</v>
      </c>
      <c r="G111" s="14">
        <v>6000</v>
      </c>
      <c r="H111" s="14">
        <v>0</v>
      </c>
      <c r="I111" s="9">
        <f t="shared" si="2"/>
        <v>0</v>
      </c>
    </row>
    <row r="112" spans="1:9" ht="85.5" customHeight="1" x14ac:dyDescent="0.4">
      <c r="A112" s="40" t="s">
        <v>103</v>
      </c>
      <c r="B112" s="17" t="s">
        <v>56</v>
      </c>
      <c r="C112" s="10" t="s">
        <v>17</v>
      </c>
      <c r="D112" s="17" t="s">
        <v>39</v>
      </c>
      <c r="E112" s="13" t="s">
        <v>60</v>
      </c>
      <c r="F112" s="17" t="s">
        <v>20</v>
      </c>
      <c r="G112" s="14">
        <v>72000</v>
      </c>
      <c r="H112" s="14">
        <v>26000</v>
      </c>
      <c r="I112" s="9">
        <f t="shared" si="2"/>
        <v>36.111111111111107</v>
      </c>
    </row>
    <row r="113" spans="1:9" ht="89" customHeight="1" x14ac:dyDescent="0.4">
      <c r="A113" s="40" t="s">
        <v>57</v>
      </c>
      <c r="B113" s="10" t="s">
        <v>56</v>
      </c>
      <c r="C113" s="10" t="s">
        <v>17</v>
      </c>
      <c r="D113" s="10" t="s">
        <v>39</v>
      </c>
      <c r="E113" s="13" t="s">
        <v>58</v>
      </c>
      <c r="F113" s="10" t="s">
        <v>20</v>
      </c>
      <c r="G113" s="14">
        <f>1382654.47+17988.56+157572.84</f>
        <v>1558215.87</v>
      </c>
      <c r="H113" s="14">
        <v>1550189.2</v>
      </c>
      <c r="I113" s="9">
        <f t="shared" si="2"/>
        <v>99.484880743770105</v>
      </c>
    </row>
    <row r="114" spans="1:9" ht="70.5" customHeight="1" x14ac:dyDescent="0.4">
      <c r="A114" s="40" t="s">
        <v>422</v>
      </c>
      <c r="B114" s="10" t="s">
        <v>56</v>
      </c>
      <c r="C114" s="10" t="s">
        <v>17</v>
      </c>
      <c r="D114" s="10" t="s">
        <v>28</v>
      </c>
      <c r="E114" s="13" t="s">
        <v>421</v>
      </c>
      <c r="F114" s="10" t="s">
        <v>55</v>
      </c>
      <c r="G114" s="14">
        <v>5000</v>
      </c>
      <c r="H114" s="14">
        <v>5000</v>
      </c>
      <c r="I114" s="9">
        <f t="shared" si="2"/>
        <v>100</v>
      </c>
    </row>
    <row r="115" spans="1:9" ht="56.5" customHeight="1" x14ac:dyDescent="0.4">
      <c r="A115" s="40" t="s">
        <v>445</v>
      </c>
      <c r="B115" s="10" t="s">
        <v>56</v>
      </c>
      <c r="C115" s="10" t="s">
        <v>17</v>
      </c>
      <c r="D115" s="10" t="s">
        <v>28</v>
      </c>
      <c r="E115" s="13" t="s">
        <v>446</v>
      </c>
      <c r="F115" s="10" t="s">
        <v>55</v>
      </c>
      <c r="G115" s="14">
        <v>6000</v>
      </c>
      <c r="H115" s="14">
        <v>6000</v>
      </c>
      <c r="I115" s="9">
        <f t="shared" si="2"/>
        <v>100</v>
      </c>
    </row>
    <row r="116" spans="1:9" s="8" customFormat="1" ht="51" customHeight="1" x14ac:dyDescent="0.35">
      <c r="A116" s="48" t="s">
        <v>205</v>
      </c>
      <c r="B116" s="46" t="s">
        <v>61</v>
      </c>
      <c r="C116" s="46" t="s">
        <v>14</v>
      </c>
      <c r="D116" s="46" t="s">
        <v>14</v>
      </c>
      <c r="E116" s="46" t="s">
        <v>15</v>
      </c>
      <c r="F116" s="46" t="s">
        <v>16</v>
      </c>
      <c r="G116" s="49">
        <f>SUM(G117:G121)</f>
        <v>8755451.3600000013</v>
      </c>
      <c r="H116" s="49">
        <f>SUM(H117:H121)</f>
        <v>8704552.3000000007</v>
      </c>
      <c r="I116" s="49">
        <f>H116/G116*100</f>
        <v>99.418658640118352</v>
      </c>
    </row>
    <row r="117" spans="1:9" ht="102.5" customHeight="1" x14ac:dyDescent="0.4">
      <c r="A117" s="32" t="s">
        <v>112</v>
      </c>
      <c r="B117" s="10" t="s">
        <v>61</v>
      </c>
      <c r="C117" s="10" t="s">
        <v>17</v>
      </c>
      <c r="D117" s="10" t="s">
        <v>33</v>
      </c>
      <c r="E117" s="13" t="s">
        <v>22</v>
      </c>
      <c r="F117" s="10" t="s">
        <v>20</v>
      </c>
      <c r="G117" s="14">
        <f>6959885.79+90817.95+17607+18456.69+749043.21</f>
        <v>7835810.6400000006</v>
      </c>
      <c r="H117" s="14">
        <v>7808750.1100000003</v>
      </c>
      <c r="I117" s="31">
        <f>H117/G117*100</f>
        <v>99.654655641346636</v>
      </c>
    </row>
    <row r="118" spans="1:9" ht="71.5" customHeight="1" x14ac:dyDescent="0.4">
      <c r="A118" s="32" t="s">
        <v>542</v>
      </c>
      <c r="B118" s="10" t="s">
        <v>61</v>
      </c>
      <c r="C118" s="10" t="s">
        <v>17</v>
      </c>
      <c r="D118" s="10" t="s">
        <v>33</v>
      </c>
      <c r="E118" s="13" t="s">
        <v>22</v>
      </c>
      <c r="F118" s="10" t="s">
        <v>23</v>
      </c>
      <c r="G118" s="14">
        <f>768456.62+324.09+78860.01+10100+7200+2000</f>
        <v>866940.72</v>
      </c>
      <c r="H118" s="14">
        <v>843102.19</v>
      </c>
      <c r="I118" s="31">
        <f t="shared" ref="I118:I120" si="3">H118/G118*100</f>
        <v>97.250269891579194</v>
      </c>
    </row>
    <row r="119" spans="1:9" ht="43" customHeight="1" x14ac:dyDescent="0.4">
      <c r="A119" s="32" t="s">
        <v>436</v>
      </c>
      <c r="B119" s="10" t="s">
        <v>61</v>
      </c>
      <c r="C119" s="10" t="s">
        <v>17</v>
      </c>
      <c r="D119" s="10" t="s">
        <v>33</v>
      </c>
      <c r="E119" s="13" t="s">
        <v>435</v>
      </c>
      <c r="F119" s="10" t="s">
        <v>23</v>
      </c>
      <c r="G119" s="14">
        <f>15600-100</f>
        <v>15500</v>
      </c>
      <c r="H119" s="14">
        <f>15600-100</f>
        <v>15500</v>
      </c>
      <c r="I119" s="31">
        <f t="shared" si="3"/>
        <v>100</v>
      </c>
    </row>
    <row r="120" spans="1:9" ht="54.5" customHeight="1" x14ac:dyDescent="0.4">
      <c r="A120" s="34" t="s">
        <v>192</v>
      </c>
      <c r="B120" s="10" t="s">
        <v>61</v>
      </c>
      <c r="C120" s="10" t="s">
        <v>17</v>
      </c>
      <c r="D120" s="10" t="s">
        <v>33</v>
      </c>
      <c r="E120" s="13" t="s">
        <v>187</v>
      </c>
      <c r="F120" s="10" t="s">
        <v>23</v>
      </c>
      <c r="G120" s="14">
        <f>42000+400-10000</f>
        <v>32400</v>
      </c>
      <c r="H120" s="14">
        <f>42000+400-10000</f>
        <v>32400</v>
      </c>
      <c r="I120" s="31">
        <f t="shared" si="3"/>
        <v>100</v>
      </c>
    </row>
    <row r="121" spans="1:9" ht="88.5" customHeight="1" x14ac:dyDescent="0.4">
      <c r="A121" s="38" t="s">
        <v>100</v>
      </c>
      <c r="B121" s="10" t="s">
        <v>61</v>
      </c>
      <c r="C121" s="10" t="s">
        <v>41</v>
      </c>
      <c r="D121" s="10" t="s">
        <v>26</v>
      </c>
      <c r="E121" s="13" t="s">
        <v>89</v>
      </c>
      <c r="F121" s="10" t="s">
        <v>23</v>
      </c>
      <c r="G121" s="14">
        <f>8000+4000-7200</f>
        <v>4800</v>
      </c>
      <c r="H121" s="14">
        <f>8000+4000-7200</f>
        <v>4800</v>
      </c>
      <c r="I121" s="31">
        <f>H121/G121*100</f>
        <v>100</v>
      </c>
    </row>
    <row r="122" spans="1:9" s="8" customFormat="1" ht="17.5" x14ac:dyDescent="0.35">
      <c r="A122" s="48" t="s">
        <v>104</v>
      </c>
      <c r="B122" s="46" t="s">
        <v>62</v>
      </c>
      <c r="C122" s="46" t="s">
        <v>14</v>
      </c>
      <c r="D122" s="46" t="s">
        <v>14</v>
      </c>
      <c r="E122" s="46" t="s">
        <v>15</v>
      </c>
      <c r="F122" s="46" t="s">
        <v>16</v>
      </c>
      <c r="G122" s="47">
        <f>SUM(G123:G233)</f>
        <v>437121644.21999985</v>
      </c>
      <c r="H122" s="47">
        <f>SUM(H123:H233)</f>
        <v>423174915.61999995</v>
      </c>
      <c r="I122" s="47">
        <f>H122/G122*100</f>
        <v>96.80941706172284</v>
      </c>
    </row>
    <row r="123" spans="1:9" ht="66" x14ac:dyDescent="0.4">
      <c r="A123" s="32" t="s">
        <v>105</v>
      </c>
      <c r="B123" s="10" t="s">
        <v>62</v>
      </c>
      <c r="C123" s="10" t="s">
        <v>41</v>
      </c>
      <c r="D123" s="10" t="s">
        <v>17</v>
      </c>
      <c r="E123" s="13" t="s">
        <v>64</v>
      </c>
      <c r="F123" s="10" t="s">
        <v>32</v>
      </c>
      <c r="G123" s="14">
        <f>28700125.01+775321.47+950428.24+256560.92+658600-30000+761453.39-43798-220000-600000+400000</f>
        <v>31608691.030000001</v>
      </c>
      <c r="H123" s="14">
        <f>28700125.01+775321.47+950428.24+256560.92+658600-30000+761453.39-43798-220000-600000+400000</f>
        <v>31608691.030000001</v>
      </c>
      <c r="I123" s="31">
        <f>H123/G123*100</f>
        <v>100</v>
      </c>
    </row>
    <row r="124" spans="1:9" ht="70" customHeight="1" x14ac:dyDescent="0.4">
      <c r="A124" s="32" t="s">
        <v>543</v>
      </c>
      <c r="B124" s="10" t="s">
        <v>62</v>
      </c>
      <c r="C124" s="10" t="s">
        <v>41</v>
      </c>
      <c r="D124" s="10" t="s">
        <v>17</v>
      </c>
      <c r="E124" s="13" t="s">
        <v>65</v>
      </c>
      <c r="F124" s="10" t="s">
        <v>32</v>
      </c>
      <c r="G124" s="14">
        <v>30000</v>
      </c>
      <c r="H124" s="14">
        <v>30000</v>
      </c>
      <c r="I124" s="31">
        <f t="shared" ref="I124:I187" si="4">H124/G124*100</f>
        <v>100</v>
      </c>
    </row>
    <row r="125" spans="1:9" ht="137" customHeight="1" x14ac:dyDescent="0.4">
      <c r="A125" s="32" t="s">
        <v>276</v>
      </c>
      <c r="B125" s="22" t="s">
        <v>62</v>
      </c>
      <c r="C125" s="12" t="s">
        <v>41</v>
      </c>
      <c r="D125" s="12" t="s">
        <v>17</v>
      </c>
      <c r="E125" s="12" t="s">
        <v>211</v>
      </c>
      <c r="F125" s="12" t="s">
        <v>32</v>
      </c>
      <c r="G125" s="14">
        <f>41240052+168284+671328-193238</f>
        <v>41886426</v>
      </c>
      <c r="H125" s="14">
        <f>41240052+168284+671328-193238</f>
        <v>41886426</v>
      </c>
      <c r="I125" s="31">
        <f t="shared" si="4"/>
        <v>100</v>
      </c>
    </row>
    <row r="126" spans="1:9" ht="67" customHeight="1" x14ac:dyDescent="0.4">
      <c r="A126" s="32" t="s">
        <v>67</v>
      </c>
      <c r="B126" s="10" t="s">
        <v>62</v>
      </c>
      <c r="C126" s="10" t="s">
        <v>41</v>
      </c>
      <c r="D126" s="10" t="s">
        <v>17</v>
      </c>
      <c r="E126" s="13" t="s">
        <v>66</v>
      </c>
      <c r="F126" s="10" t="s">
        <v>32</v>
      </c>
      <c r="G126" s="14">
        <f>490200+370607.75</f>
        <v>860807.75</v>
      </c>
      <c r="H126" s="14">
        <v>855640.92</v>
      </c>
      <c r="I126" s="31">
        <f t="shared" si="4"/>
        <v>99.399769576888687</v>
      </c>
    </row>
    <row r="127" spans="1:9" ht="70.5" customHeight="1" x14ac:dyDescent="0.4">
      <c r="A127" s="33" t="s">
        <v>320</v>
      </c>
      <c r="B127" s="10" t="s">
        <v>62</v>
      </c>
      <c r="C127" s="10" t="s">
        <v>41</v>
      </c>
      <c r="D127" s="10" t="s">
        <v>17</v>
      </c>
      <c r="E127" s="13" t="s">
        <v>321</v>
      </c>
      <c r="F127" s="13">
        <v>600</v>
      </c>
      <c r="G127" s="14">
        <f>810000+394000-658600</f>
        <v>545400</v>
      </c>
      <c r="H127" s="14">
        <f>810000+394000-658600</f>
        <v>545400</v>
      </c>
      <c r="I127" s="31">
        <f t="shared" si="4"/>
        <v>100</v>
      </c>
    </row>
    <row r="128" spans="1:9" ht="72" customHeight="1" x14ac:dyDescent="0.4">
      <c r="A128" s="33" t="s">
        <v>459</v>
      </c>
      <c r="B128" s="10" t="s">
        <v>62</v>
      </c>
      <c r="C128" s="10" t="s">
        <v>41</v>
      </c>
      <c r="D128" s="10" t="s">
        <v>17</v>
      </c>
      <c r="E128" s="13" t="s">
        <v>458</v>
      </c>
      <c r="F128" s="13">
        <v>600</v>
      </c>
      <c r="G128" s="14">
        <v>304575</v>
      </c>
      <c r="H128" s="14">
        <v>304575</v>
      </c>
      <c r="I128" s="31">
        <f t="shared" si="4"/>
        <v>100</v>
      </c>
    </row>
    <row r="129" spans="1:9" ht="71.5" customHeight="1" x14ac:dyDescent="0.4">
      <c r="A129" s="33" t="s">
        <v>366</v>
      </c>
      <c r="B129" s="10" t="s">
        <v>62</v>
      </c>
      <c r="C129" s="10" t="s">
        <v>41</v>
      </c>
      <c r="D129" s="10" t="s">
        <v>17</v>
      </c>
      <c r="E129" s="13" t="s">
        <v>365</v>
      </c>
      <c r="F129" s="13">
        <v>600</v>
      </c>
      <c r="G129" s="14">
        <v>12517797.220000001</v>
      </c>
      <c r="H129" s="14">
        <v>11946151.779999999</v>
      </c>
      <c r="I129" s="31">
        <f t="shared" si="4"/>
        <v>95.433338390506364</v>
      </c>
    </row>
    <row r="130" spans="1:9" ht="71" customHeight="1" x14ac:dyDescent="0.4">
      <c r="A130" s="33" t="s">
        <v>364</v>
      </c>
      <c r="B130" s="10" t="s">
        <v>62</v>
      </c>
      <c r="C130" s="10" t="s">
        <v>41</v>
      </c>
      <c r="D130" s="10" t="s">
        <v>17</v>
      </c>
      <c r="E130" s="13" t="s">
        <v>363</v>
      </c>
      <c r="F130" s="13">
        <v>600</v>
      </c>
      <c r="G130" s="14">
        <f>404040.4+0.01</f>
        <v>404040.41000000003</v>
      </c>
      <c r="H130" s="14">
        <f>404040.4+0.01</f>
        <v>404040.41000000003</v>
      </c>
      <c r="I130" s="31">
        <f t="shared" si="4"/>
        <v>100</v>
      </c>
    </row>
    <row r="131" spans="1:9" ht="102" customHeight="1" x14ac:dyDescent="0.4">
      <c r="A131" s="33" t="s">
        <v>501</v>
      </c>
      <c r="B131" s="10" t="s">
        <v>62</v>
      </c>
      <c r="C131" s="10" t="s">
        <v>41</v>
      </c>
      <c r="D131" s="10" t="s">
        <v>17</v>
      </c>
      <c r="E131" s="13" t="s">
        <v>478</v>
      </c>
      <c r="F131" s="13">
        <v>600</v>
      </c>
      <c r="G131" s="14">
        <f>3949880+4515772</f>
        <v>8465652</v>
      </c>
      <c r="H131" s="14">
        <f>3949880+4515772</f>
        <v>8465652</v>
      </c>
      <c r="I131" s="31">
        <f t="shared" si="4"/>
        <v>100</v>
      </c>
    </row>
    <row r="132" spans="1:9" ht="138.5" customHeight="1" x14ac:dyDescent="0.4">
      <c r="A132" s="32" t="s">
        <v>167</v>
      </c>
      <c r="B132" s="10" t="s">
        <v>62</v>
      </c>
      <c r="C132" s="10" t="s">
        <v>41</v>
      </c>
      <c r="D132" s="10" t="s">
        <v>17</v>
      </c>
      <c r="E132" s="15" t="s">
        <v>166</v>
      </c>
      <c r="F132" s="13">
        <v>600</v>
      </c>
      <c r="G132" s="14">
        <f>515561+113092</f>
        <v>628653</v>
      </c>
      <c r="H132" s="14">
        <f>515561+113092</f>
        <v>628653</v>
      </c>
      <c r="I132" s="31">
        <f t="shared" si="4"/>
        <v>100</v>
      </c>
    </row>
    <row r="133" spans="1:9" ht="105" customHeight="1" x14ac:dyDescent="0.4">
      <c r="A133" s="32" t="s">
        <v>63</v>
      </c>
      <c r="B133" s="10" t="s">
        <v>62</v>
      </c>
      <c r="C133" s="10" t="s">
        <v>41</v>
      </c>
      <c r="D133" s="10" t="s">
        <v>18</v>
      </c>
      <c r="E133" s="13" t="s">
        <v>64</v>
      </c>
      <c r="F133" s="10" t="s">
        <v>20</v>
      </c>
      <c r="G133" s="14">
        <f>1705672.08-758076.48+51715.44+64449+21326.76+63296.45</f>
        <v>1148383.25</v>
      </c>
      <c r="H133" s="14">
        <f>1705672.08-758076.48+51715.44+64449+21326.76+63296.45</f>
        <v>1148383.25</v>
      </c>
      <c r="I133" s="31">
        <f t="shared" si="4"/>
        <v>100</v>
      </c>
    </row>
    <row r="134" spans="1:9" ht="74" customHeight="1" x14ac:dyDescent="0.4">
      <c r="A134" s="34" t="s">
        <v>143</v>
      </c>
      <c r="B134" s="10" t="s">
        <v>62</v>
      </c>
      <c r="C134" s="10" t="s">
        <v>41</v>
      </c>
      <c r="D134" s="10" t="s">
        <v>18</v>
      </c>
      <c r="E134" s="13" t="s">
        <v>64</v>
      </c>
      <c r="F134" s="10" t="s">
        <v>23</v>
      </c>
      <c r="G134" s="14">
        <f>674800-58100-250000+40000+20000</f>
        <v>426700</v>
      </c>
      <c r="H134" s="14">
        <f>674800-58100-250000+40000+20000</f>
        <v>426700</v>
      </c>
      <c r="I134" s="31">
        <f t="shared" si="4"/>
        <v>100</v>
      </c>
    </row>
    <row r="135" spans="1:9" ht="107.5" customHeight="1" x14ac:dyDescent="0.4">
      <c r="A135" s="34" t="s">
        <v>519</v>
      </c>
      <c r="B135" s="10" t="s">
        <v>62</v>
      </c>
      <c r="C135" s="10" t="s">
        <v>41</v>
      </c>
      <c r="D135" s="10" t="s">
        <v>18</v>
      </c>
      <c r="E135" s="13" t="s">
        <v>518</v>
      </c>
      <c r="F135" s="10" t="s">
        <v>23</v>
      </c>
      <c r="G135" s="14">
        <v>40457</v>
      </c>
      <c r="H135" s="14">
        <v>40457</v>
      </c>
      <c r="I135" s="31">
        <f t="shared" si="4"/>
        <v>100</v>
      </c>
    </row>
    <row r="136" spans="1:9" ht="115.5" x14ac:dyDescent="0.4">
      <c r="A136" s="32" t="s">
        <v>144</v>
      </c>
      <c r="B136" s="10" t="s">
        <v>62</v>
      </c>
      <c r="C136" s="10" t="s">
        <v>41</v>
      </c>
      <c r="D136" s="10" t="s">
        <v>18</v>
      </c>
      <c r="E136" s="13" t="s">
        <v>72</v>
      </c>
      <c r="F136" s="10" t="s">
        <v>20</v>
      </c>
      <c r="G136" s="14">
        <f>6080449.61+378960.12+125401.35-1150192+316482.25-24094.91</f>
        <v>5727006.4199999999</v>
      </c>
      <c r="H136" s="14">
        <f>6080449.61+378960.12+125401.35-1150192+316482.25-24094.91</f>
        <v>5727006.4199999999</v>
      </c>
      <c r="I136" s="31">
        <f t="shared" si="4"/>
        <v>100</v>
      </c>
    </row>
    <row r="137" spans="1:9" ht="82.5" x14ac:dyDescent="0.4">
      <c r="A137" s="32" t="s">
        <v>145</v>
      </c>
      <c r="B137" s="10" t="s">
        <v>62</v>
      </c>
      <c r="C137" s="10" t="s">
        <v>41</v>
      </c>
      <c r="D137" s="10" t="s">
        <v>18</v>
      </c>
      <c r="E137" s="13" t="s">
        <v>72</v>
      </c>
      <c r="F137" s="10" t="s">
        <v>23</v>
      </c>
      <c r="G137" s="14">
        <f>11612932.9+214974.2+937253.62+46567.19+138100-11400+191542-1073737.22+198232.6-400000+39500+67957.75</f>
        <v>11961923.039999997</v>
      </c>
      <c r="H137" s="14">
        <v>10532308.82</v>
      </c>
      <c r="I137" s="31">
        <f t="shared" si="4"/>
        <v>88.048625499265896</v>
      </c>
    </row>
    <row r="138" spans="1:9" ht="91" customHeight="1" x14ac:dyDescent="0.4">
      <c r="A138" s="32" t="s">
        <v>73</v>
      </c>
      <c r="B138" s="10" t="s">
        <v>62</v>
      </c>
      <c r="C138" s="10" t="s">
        <v>41</v>
      </c>
      <c r="D138" s="10" t="s">
        <v>18</v>
      </c>
      <c r="E138" s="13" t="s">
        <v>72</v>
      </c>
      <c r="F138" s="10" t="s">
        <v>32</v>
      </c>
      <c r="G138" s="14">
        <f>12847690.52+224282.52+542954.45+74217.12+933174.64-274037+263313.23+600000+1101942.06+455830+600000</f>
        <v>17369367.539999999</v>
      </c>
      <c r="H138" s="14">
        <f>12847690.52+224282.52+542954.45+74217.12+933174.64-274037+263313.23+600000+1101942.06+455830+600000</f>
        <v>17369367.539999999</v>
      </c>
      <c r="I138" s="31">
        <f t="shared" si="4"/>
        <v>100</v>
      </c>
    </row>
    <row r="139" spans="1:9" ht="66" x14ac:dyDescent="0.4">
      <c r="A139" s="32" t="s">
        <v>106</v>
      </c>
      <c r="B139" s="10" t="s">
        <v>62</v>
      </c>
      <c r="C139" s="10" t="s">
        <v>41</v>
      </c>
      <c r="D139" s="10" t="s">
        <v>18</v>
      </c>
      <c r="E139" s="13" t="s">
        <v>72</v>
      </c>
      <c r="F139" s="10" t="s">
        <v>25</v>
      </c>
      <c r="G139" s="14">
        <f>311348.4-4109.93-107457.75</f>
        <v>199780.72000000003</v>
      </c>
      <c r="H139" s="14">
        <v>199737.65</v>
      </c>
      <c r="I139" s="31">
        <f t="shared" si="4"/>
        <v>99.978441363110491</v>
      </c>
    </row>
    <row r="140" spans="1:9" ht="59" customHeight="1" x14ac:dyDescent="0.4">
      <c r="A140" s="33" t="s">
        <v>408</v>
      </c>
      <c r="B140" s="10" t="s">
        <v>62</v>
      </c>
      <c r="C140" s="10" t="s">
        <v>41</v>
      </c>
      <c r="D140" s="10" t="s">
        <v>18</v>
      </c>
      <c r="E140" s="13" t="s">
        <v>407</v>
      </c>
      <c r="F140" s="10" t="s">
        <v>23</v>
      </c>
      <c r="G140" s="14">
        <f>50000+35000+16000</f>
        <v>101000</v>
      </c>
      <c r="H140" s="14">
        <f>50000+35000+16000</f>
        <v>101000</v>
      </c>
      <c r="I140" s="31">
        <f t="shared" si="4"/>
        <v>100</v>
      </c>
    </row>
    <row r="141" spans="1:9" ht="189" customHeight="1" x14ac:dyDescent="0.4">
      <c r="A141" s="33" t="s">
        <v>527</v>
      </c>
      <c r="B141" s="10" t="s">
        <v>62</v>
      </c>
      <c r="C141" s="10" t="s">
        <v>41</v>
      </c>
      <c r="D141" s="10" t="s">
        <v>18</v>
      </c>
      <c r="E141" s="13" t="s">
        <v>308</v>
      </c>
      <c r="F141" s="10" t="s">
        <v>20</v>
      </c>
      <c r="G141" s="14">
        <v>4327302.83</v>
      </c>
      <c r="H141" s="14">
        <v>3974036.59</v>
      </c>
      <c r="I141" s="31">
        <f t="shared" si="4"/>
        <v>91.836341160343522</v>
      </c>
    </row>
    <row r="142" spans="1:9" ht="169" customHeight="1" x14ac:dyDescent="0.4">
      <c r="A142" s="33" t="s">
        <v>528</v>
      </c>
      <c r="B142" s="10" t="s">
        <v>62</v>
      </c>
      <c r="C142" s="10" t="s">
        <v>41</v>
      </c>
      <c r="D142" s="10" t="s">
        <v>18</v>
      </c>
      <c r="E142" s="13" t="s">
        <v>308</v>
      </c>
      <c r="F142" s="10" t="s">
        <v>32</v>
      </c>
      <c r="G142" s="14">
        <f>3984120-78120+438017.17</f>
        <v>4344017.17</v>
      </c>
      <c r="H142" s="14">
        <v>4118726.88</v>
      </c>
      <c r="I142" s="31">
        <f t="shared" si="4"/>
        <v>94.813779937246423</v>
      </c>
    </row>
    <row r="143" spans="1:9" ht="205.5" customHeight="1" x14ac:dyDescent="0.4">
      <c r="A143" s="32" t="s">
        <v>213</v>
      </c>
      <c r="B143" s="10" t="s">
        <v>62</v>
      </c>
      <c r="C143" s="10" t="s">
        <v>41</v>
      </c>
      <c r="D143" s="10" t="s">
        <v>18</v>
      </c>
      <c r="E143" s="13" t="s">
        <v>212</v>
      </c>
      <c r="F143" s="10" t="s">
        <v>20</v>
      </c>
      <c r="G143" s="14">
        <f>41030406.5+142488.52+712284.4-3564943.56+498795.78-12891.99</f>
        <v>38806139.649999999</v>
      </c>
      <c r="H143" s="14">
        <f>41030406.5+142488.52+712284.4-3564943.56+498795.78-12891.99</f>
        <v>38806139.649999999</v>
      </c>
      <c r="I143" s="31">
        <f t="shared" si="4"/>
        <v>100</v>
      </c>
    </row>
    <row r="144" spans="1:9" ht="148.5" x14ac:dyDescent="0.4">
      <c r="A144" s="32" t="s">
        <v>214</v>
      </c>
      <c r="B144" s="10" t="s">
        <v>62</v>
      </c>
      <c r="C144" s="10" t="s">
        <v>41</v>
      </c>
      <c r="D144" s="10" t="s">
        <v>18</v>
      </c>
      <c r="E144" s="13" t="s">
        <v>212</v>
      </c>
      <c r="F144" s="10" t="s">
        <v>23</v>
      </c>
      <c r="G144" s="14">
        <f>829642+304-258886+250772.71-230940.71</f>
        <v>590892</v>
      </c>
      <c r="H144" s="14">
        <f>829642+304-258886+250772.71-230940.71</f>
        <v>590892</v>
      </c>
      <c r="I144" s="31">
        <f t="shared" si="4"/>
        <v>100</v>
      </c>
    </row>
    <row r="145" spans="1:9" ht="177.5" customHeight="1" x14ac:dyDescent="0.4">
      <c r="A145" s="32" t="s">
        <v>215</v>
      </c>
      <c r="B145" s="10" t="s">
        <v>62</v>
      </c>
      <c r="C145" s="10" t="s">
        <v>41</v>
      </c>
      <c r="D145" s="10" t="s">
        <v>18</v>
      </c>
      <c r="E145" s="13" t="s">
        <v>212</v>
      </c>
      <c r="F145" s="10" t="s">
        <v>32</v>
      </c>
      <c r="G145" s="14">
        <f>42140608.25+130798.98+64759.18+3823829.56-749568.49</f>
        <v>45410427.479999997</v>
      </c>
      <c r="H145" s="14">
        <f>42140608.25+130798.98+64759.18+3823829.56-749568.49</f>
        <v>45410427.479999997</v>
      </c>
      <c r="I145" s="31">
        <f t="shared" si="4"/>
        <v>100</v>
      </c>
    </row>
    <row r="146" spans="1:9" ht="74" customHeight="1" x14ac:dyDescent="0.4">
      <c r="A146" s="32" t="s">
        <v>68</v>
      </c>
      <c r="B146" s="10" t="s">
        <v>62</v>
      </c>
      <c r="C146" s="10" t="s">
        <v>41</v>
      </c>
      <c r="D146" s="10" t="s">
        <v>18</v>
      </c>
      <c r="E146" s="13" t="s">
        <v>69</v>
      </c>
      <c r="F146" s="10" t="s">
        <v>32</v>
      </c>
      <c r="G146" s="14">
        <f>3676786.16+186174.72+333103.68+257796+85307.04+253185.8</f>
        <v>4792353.4000000004</v>
      </c>
      <c r="H146" s="14">
        <f>3676786.16+186174.72+333103.68+257796+85307.04+253185.8</f>
        <v>4792353.4000000004</v>
      </c>
      <c r="I146" s="31">
        <f t="shared" si="4"/>
        <v>100</v>
      </c>
    </row>
    <row r="147" spans="1:9" ht="53.5" customHeight="1" x14ac:dyDescent="0.4">
      <c r="A147" s="32" t="s">
        <v>96</v>
      </c>
      <c r="B147" s="10" t="s">
        <v>62</v>
      </c>
      <c r="C147" s="10" t="s">
        <v>41</v>
      </c>
      <c r="D147" s="10" t="s">
        <v>18</v>
      </c>
      <c r="E147" s="13" t="s">
        <v>70</v>
      </c>
      <c r="F147" s="10" t="s">
        <v>23</v>
      </c>
      <c r="G147" s="14">
        <f>553200-210693.08-41698.34</f>
        <v>300808.58000000007</v>
      </c>
      <c r="H147" s="14">
        <f>553200-210693.08-41698.34</f>
        <v>300808.58000000007</v>
      </c>
      <c r="I147" s="31">
        <f t="shared" si="4"/>
        <v>100</v>
      </c>
    </row>
    <row r="148" spans="1:9" ht="49.5" x14ac:dyDescent="0.4">
      <c r="A148" s="32" t="s">
        <v>71</v>
      </c>
      <c r="B148" s="10" t="s">
        <v>62</v>
      </c>
      <c r="C148" s="10" t="s">
        <v>41</v>
      </c>
      <c r="D148" s="10" t="s">
        <v>18</v>
      </c>
      <c r="E148" s="13" t="s">
        <v>70</v>
      </c>
      <c r="F148" s="10" t="s">
        <v>32</v>
      </c>
      <c r="G148" s="14">
        <f>305000-159914.67+41698.34</f>
        <v>186783.66999999998</v>
      </c>
      <c r="H148" s="14">
        <f>305000-159914.67+41698.34</f>
        <v>186783.66999999998</v>
      </c>
      <c r="I148" s="31">
        <f t="shared" si="4"/>
        <v>100</v>
      </c>
    </row>
    <row r="149" spans="1:9" ht="74" customHeight="1" x14ac:dyDescent="0.4">
      <c r="A149" s="35" t="s">
        <v>271</v>
      </c>
      <c r="B149" s="10" t="s">
        <v>62</v>
      </c>
      <c r="C149" s="10" t="s">
        <v>41</v>
      </c>
      <c r="D149" s="10" t="s">
        <v>18</v>
      </c>
      <c r="E149" s="13" t="s">
        <v>269</v>
      </c>
      <c r="F149" s="10" t="s">
        <v>23</v>
      </c>
      <c r="G149" s="14">
        <f>260000+33.19-54950-25292.87</f>
        <v>179790.32</v>
      </c>
      <c r="H149" s="14">
        <v>173060.21</v>
      </c>
      <c r="I149" s="31">
        <f t="shared" si="4"/>
        <v>96.256689459143288</v>
      </c>
    </row>
    <row r="150" spans="1:9" ht="72" customHeight="1" x14ac:dyDescent="0.4">
      <c r="A150" s="35" t="s">
        <v>272</v>
      </c>
      <c r="B150" s="10" t="s">
        <v>62</v>
      </c>
      <c r="C150" s="10" t="s">
        <v>41</v>
      </c>
      <c r="D150" s="10" t="s">
        <v>18</v>
      </c>
      <c r="E150" s="13" t="s">
        <v>269</v>
      </c>
      <c r="F150" s="10" t="s">
        <v>32</v>
      </c>
      <c r="G150" s="14">
        <f>553122.17+54950-287982.17</f>
        <v>320090.00000000006</v>
      </c>
      <c r="H150" s="14">
        <v>234657.65</v>
      </c>
      <c r="I150" s="31">
        <f t="shared" si="4"/>
        <v>73.309897216407876</v>
      </c>
    </row>
    <row r="151" spans="1:9" ht="58" customHeight="1" x14ac:dyDescent="0.4">
      <c r="A151" s="35" t="s">
        <v>329</v>
      </c>
      <c r="B151" s="10" t="s">
        <v>62</v>
      </c>
      <c r="C151" s="10" t="s">
        <v>41</v>
      </c>
      <c r="D151" s="10" t="s">
        <v>18</v>
      </c>
      <c r="E151" s="13" t="s">
        <v>323</v>
      </c>
      <c r="F151" s="13">
        <v>200</v>
      </c>
      <c r="G151" s="14">
        <f>120000+98500-25450</f>
        <v>193050</v>
      </c>
      <c r="H151" s="14">
        <f>120000+98500-25450</f>
        <v>193050</v>
      </c>
      <c r="I151" s="31">
        <f t="shared" si="4"/>
        <v>100</v>
      </c>
    </row>
    <row r="152" spans="1:9" ht="72" customHeight="1" x14ac:dyDescent="0.4">
      <c r="A152" s="35" t="s">
        <v>322</v>
      </c>
      <c r="B152" s="10" t="s">
        <v>62</v>
      </c>
      <c r="C152" s="10" t="s">
        <v>41</v>
      </c>
      <c r="D152" s="10" t="s">
        <v>18</v>
      </c>
      <c r="E152" s="13" t="s">
        <v>323</v>
      </c>
      <c r="F152" s="13">
        <v>600</v>
      </c>
      <c r="G152" s="14">
        <f>710000+295500+25450</f>
        <v>1030950</v>
      </c>
      <c r="H152" s="14">
        <v>791700</v>
      </c>
      <c r="I152" s="31">
        <f t="shared" si="4"/>
        <v>76.793248945147667</v>
      </c>
    </row>
    <row r="153" spans="1:9" ht="86.5" customHeight="1" x14ac:dyDescent="0.4">
      <c r="A153" s="35" t="s">
        <v>340</v>
      </c>
      <c r="B153" s="10" t="s">
        <v>62</v>
      </c>
      <c r="C153" s="10" t="s">
        <v>41</v>
      </c>
      <c r="D153" s="10" t="s">
        <v>18</v>
      </c>
      <c r="E153" s="13" t="s">
        <v>342</v>
      </c>
      <c r="F153" s="13">
        <v>200</v>
      </c>
      <c r="G153" s="14">
        <f>94171+244.64-36738.96+15569.98</f>
        <v>73246.66</v>
      </c>
      <c r="H153" s="14">
        <v>66838.820000000007</v>
      </c>
      <c r="I153" s="31">
        <f t="shared" si="4"/>
        <v>91.25169666439399</v>
      </c>
    </row>
    <row r="154" spans="1:9" ht="87" customHeight="1" x14ac:dyDescent="0.4">
      <c r="A154" s="35" t="s">
        <v>341</v>
      </c>
      <c r="B154" s="10" t="s">
        <v>62</v>
      </c>
      <c r="C154" s="10" t="s">
        <v>41</v>
      </c>
      <c r="D154" s="10" t="s">
        <v>18</v>
      </c>
      <c r="E154" s="13" t="s">
        <v>342</v>
      </c>
      <c r="F154" s="13">
        <v>600</v>
      </c>
      <c r="G154" s="14">
        <f>376684+36738.96+79472.46</f>
        <v>492895.42000000004</v>
      </c>
      <c r="H154" s="14">
        <v>433125.18</v>
      </c>
      <c r="I154" s="31">
        <f t="shared" si="4"/>
        <v>87.873646705826559</v>
      </c>
    </row>
    <row r="155" spans="1:9" ht="86.5" customHeight="1" x14ac:dyDescent="0.4">
      <c r="A155" s="35" t="s">
        <v>486</v>
      </c>
      <c r="B155" s="10" t="s">
        <v>62</v>
      </c>
      <c r="C155" s="10" t="s">
        <v>41</v>
      </c>
      <c r="D155" s="10" t="s">
        <v>18</v>
      </c>
      <c r="E155" s="13" t="s">
        <v>374</v>
      </c>
      <c r="F155" s="13">
        <v>600</v>
      </c>
      <c r="G155" s="14">
        <v>114460</v>
      </c>
      <c r="H155" s="14">
        <v>114460</v>
      </c>
      <c r="I155" s="31">
        <f t="shared" si="4"/>
        <v>100</v>
      </c>
    </row>
    <row r="156" spans="1:9" ht="87" customHeight="1" x14ac:dyDescent="0.4">
      <c r="A156" s="35" t="s">
        <v>487</v>
      </c>
      <c r="B156" s="10" t="s">
        <v>62</v>
      </c>
      <c r="C156" s="10" t="s">
        <v>41</v>
      </c>
      <c r="D156" s="10" t="s">
        <v>18</v>
      </c>
      <c r="E156" s="13" t="s">
        <v>375</v>
      </c>
      <c r="F156" s="13">
        <v>600</v>
      </c>
      <c r="G156" s="14">
        <v>46738</v>
      </c>
      <c r="H156" s="14">
        <v>46738</v>
      </c>
      <c r="I156" s="31">
        <f t="shared" si="4"/>
        <v>100</v>
      </c>
    </row>
    <row r="157" spans="1:9" ht="88.5" customHeight="1" x14ac:dyDescent="0.4">
      <c r="A157" s="35" t="s">
        <v>379</v>
      </c>
      <c r="B157" s="10" t="s">
        <v>62</v>
      </c>
      <c r="C157" s="10" t="s">
        <v>41</v>
      </c>
      <c r="D157" s="10" t="s">
        <v>18</v>
      </c>
      <c r="E157" s="13" t="s">
        <v>376</v>
      </c>
      <c r="F157" s="13">
        <v>600</v>
      </c>
      <c r="G157" s="14">
        <v>600000</v>
      </c>
      <c r="H157" s="14">
        <v>600000</v>
      </c>
      <c r="I157" s="31">
        <f t="shared" si="4"/>
        <v>100</v>
      </c>
    </row>
    <row r="158" spans="1:9" ht="101" customHeight="1" x14ac:dyDescent="0.4">
      <c r="A158" s="35" t="s">
        <v>380</v>
      </c>
      <c r="B158" s="10" t="s">
        <v>62</v>
      </c>
      <c r="C158" s="10" t="s">
        <v>41</v>
      </c>
      <c r="D158" s="10" t="s">
        <v>18</v>
      </c>
      <c r="E158" s="13" t="s">
        <v>377</v>
      </c>
      <c r="F158" s="13">
        <v>600</v>
      </c>
      <c r="G158" s="14">
        <v>136872</v>
      </c>
      <c r="H158" s="14">
        <v>136872</v>
      </c>
      <c r="I158" s="31">
        <f t="shared" si="4"/>
        <v>100</v>
      </c>
    </row>
    <row r="159" spans="1:9" ht="87.5" customHeight="1" x14ac:dyDescent="0.4">
      <c r="A159" s="35" t="s">
        <v>381</v>
      </c>
      <c r="B159" s="10" t="s">
        <v>62</v>
      </c>
      <c r="C159" s="10" t="s">
        <v>41</v>
      </c>
      <c r="D159" s="10" t="s">
        <v>18</v>
      </c>
      <c r="E159" s="13" t="s">
        <v>378</v>
      </c>
      <c r="F159" s="13">
        <v>600</v>
      </c>
      <c r="G159" s="14">
        <v>117776</v>
      </c>
      <c r="H159" s="14">
        <v>117776</v>
      </c>
      <c r="I159" s="31">
        <f t="shared" si="4"/>
        <v>100</v>
      </c>
    </row>
    <row r="160" spans="1:9" ht="53" customHeight="1" x14ac:dyDescent="0.4">
      <c r="A160" s="35" t="s">
        <v>410</v>
      </c>
      <c r="B160" s="10" t="s">
        <v>62</v>
      </c>
      <c r="C160" s="10" t="s">
        <v>41</v>
      </c>
      <c r="D160" s="10" t="s">
        <v>18</v>
      </c>
      <c r="E160" s="13" t="s">
        <v>409</v>
      </c>
      <c r="F160" s="13">
        <v>600</v>
      </c>
      <c r="G160" s="14">
        <v>300000</v>
      </c>
      <c r="H160" s="14">
        <v>299466.75</v>
      </c>
      <c r="I160" s="31">
        <f t="shared" si="4"/>
        <v>99.822249999999997</v>
      </c>
    </row>
    <row r="161" spans="1:9" ht="54.5" customHeight="1" x14ac:dyDescent="0.4">
      <c r="A161" s="35" t="s">
        <v>427</v>
      </c>
      <c r="B161" s="10" t="s">
        <v>62</v>
      </c>
      <c r="C161" s="10" t="s">
        <v>41</v>
      </c>
      <c r="D161" s="10" t="s">
        <v>18</v>
      </c>
      <c r="E161" s="13" t="s">
        <v>426</v>
      </c>
      <c r="F161" s="13">
        <v>200</v>
      </c>
      <c r="G161" s="14">
        <v>467240</v>
      </c>
      <c r="H161" s="14">
        <v>467240</v>
      </c>
      <c r="I161" s="31">
        <f t="shared" si="4"/>
        <v>100</v>
      </c>
    </row>
    <row r="162" spans="1:9" ht="101" customHeight="1" x14ac:dyDescent="0.4">
      <c r="A162" s="35" t="s">
        <v>488</v>
      </c>
      <c r="B162" s="10" t="s">
        <v>62</v>
      </c>
      <c r="C162" s="10" t="s">
        <v>41</v>
      </c>
      <c r="D162" s="10" t="s">
        <v>18</v>
      </c>
      <c r="E162" s="13" t="s">
        <v>437</v>
      </c>
      <c r="F162" s="13">
        <v>600</v>
      </c>
      <c r="G162" s="14">
        <v>100000</v>
      </c>
      <c r="H162" s="14">
        <v>0</v>
      </c>
      <c r="I162" s="31">
        <f t="shared" si="4"/>
        <v>0</v>
      </c>
    </row>
    <row r="163" spans="1:9" ht="107" customHeight="1" x14ac:dyDescent="0.4">
      <c r="A163" s="35" t="s">
        <v>439</v>
      </c>
      <c r="B163" s="10" t="s">
        <v>62</v>
      </c>
      <c r="C163" s="10" t="s">
        <v>41</v>
      </c>
      <c r="D163" s="10" t="s">
        <v>18</v>
      </c>
      <c r="E163" s="13" t="s">
        <v>438</v>
      </c>
      <c r="F163" s="13">
        <v>600</v>
      </c>
      <c r="G163" s="14">
        <f>730000-600000-100000</f>
        <v>30000</v>
      </c>
      <c r="H163" s="14">
        <v>29998</v>
      </c>
      <c r="I163" s="31">
        <f t="shared" si="4"/>
        <v>99.993333333333339</v>
      </c>
    </row>
    <row r="164" spans="1:9" ht="53" customHeight="1" x14ac:dyDescent="0.4">
      <c r="A164" s="35" t="s">
        <v>453</v>
      </c>
      <c r="B164" s="10" t="s">
        <v>62</v>
      </c>
      <c r="C164" s="10" t="s">
        <v>41</v>
      </c>
      <c r="D164" s="10" t="s">
        <v>18</v>
      </c>
      <c r="E164" s="13" t="s">
        <v>452</v>
      </c>
      <c r="F164" s="13">
        <v>200</v>
      </c>
      <c r="G164" s="14">
        <f>98000+11400</f>
        <v>109400</v>
      </c>
      <c r="H164" s="14">
        <f>98000+11400</f>
        <v>109400</v>
      </c>
      <c r="I164" s="31">
        <f t="shared" si="4"/>
        <v>100</v>
      </c>
    </row>
    <row r="165" spans="1:9" ht="73.5" customHeight="1" x14ac:dyDescent="0.4">
      <c r="A165" s="35" t="s">
        <v>483</v>
      </c>
      <c r="B165" s="10" t="s">
        <v>62</v>
      </c>
      <c r="C165" s="10" t="s">
        <v>41</v>
      </c>
      <c r="D165" s="10" t="s">
        <v>18</v>
      </c>
      <c r="E165" s="13" t="s">
        <v>479</v>
      </c>
      <c r="F165" s="13">
        <v>600</v>
      </c>
      <c r="G165" s="14">
        <v>26620</v>
      </c>
      <c r="H165" s="14">
        <v>26620</v>
      </c>
      <c r="I165" s="31">
        <f t="shared" si="4"/>
        <v>100</v>
      </c>
    </row>
    <row r="166" spans="1:9" ht="75" customHeight="1" x14ac:dyDescent="0.4">
      <c r="A166" s="35" t="s">
        <v>484</v>
      </c>
      <c r="B166" s="10" t="s">
        <v>62</v>
      </c>
      <c r="C166" s="10" t="s">
        <v>41</v>
      </c>
      <c r="D166" s="10" t="s">
        <v>18</v>
      </c>
      <c r="E166" s="13" t="s">
        <v>480</v>
      </c>
      <c r="F166" s="13">
        <v>600</v>
      </c>
      <c r="G166" s="14">
        <v>25000</v>
      </c>
      <c r="H166" s="14">
        <v>25000</v>
      </c>
      <c r="I166" s="31">
        <f t="shared" si="4"/>
        <v>100</v>
      </c>
    </row>
    <row r="167" spans="1:9" ht="288" customHeight="1" x14ac:dyDescent="0.4">
      <c r="A167" s="44" t="s">
        <v>529</v>
      </c>
      <c r="B167" s="10" t="s">
        <v>62</v>
      </c>
      <c r="C167" s="10" t="s">
        <v>41</v>
      </c>
      <c r="D167" s="10" t="s">
        <v>18</v>
      </c>
      <c r="E167" s="13" t="s">
        <v>520</v>
      </c>
      <c r="F167" s="13">
        <v>200</v>
      </c>
      <c r="G167" s="14">
        <v>172340.64</v>
      </c>
      <c r="H167" s="14">
        <v>1259.8</v>
      </c>
      <c r="I167" s="31">
        <f t="shared" si="4"/>
        <v>0.73099415204678353</v>
      </c>
    </row>
    <row r="168" spans="1:9" ht="332" customHeight="1" x14ac:dyDescent="0.4">
      <c r="A168" s="35" t="s">
        <v>530</v>
      </c>
      <c r="B168" s="10" t="s">
        <v>521</v>
      </c>
      <c r="C168" s="10" t="s">
        <v>41</v>
      </c>
      <c r="D168" s="10" t="s">
        <v>18</v>
      </c>
      <c r="E168" s="13" t="s">
        <v>520</v>
      </c>
      <c r="F168" s="13">
        <v>600</v>
      </c>
      <c r="G168" s="14">
        <v>175931.07</v>
      </c>
      <c r="H168" s="14">
        <v>8202.44</v>
      </c>
      <c r="I168" s="31">
        <f t="shared" si="4"/>
        <v>4.6623032532002453</v>
      </c>
    </row>
    <row r="169" spans="1:9" ht="103" customHeight="1" x14ac:dyDescent="0.4">
      <c r="A169" s="35" t="s">
        <v>411</v>
      </c>
      <c r="B169" s="10" t="s">
        <v>62</v>
      </c>
      <c r="C169" s="10" t="s">
        <v>41</v>
      </c>
      <c r="D169" s="10" t="s">
        <v>18</v>
      </c>
      <c r="E169" s="13" t="s">
        <v>313</v>
      </c>
      <c r="F169" s="13">
        <v>200</v>
      </c>
      <c r="G169" s="14">
        <f>3125882.76-151176-106.89-1148666.35</f>
        <v>1825933.5199999996</v>
      </c>
      <c r="H169" s="14">
        <v>1738564.85</v>
      </c>
      <c r="I169" s="31">
        <f t="shared" si="4"/>
        <v>95.215123166149027</v>
      </c>
    </row>
    <row r="170" spans="1:9" ht="105" customHeight="1" x14ac:dyDescent="0.4">
      <c r="A170" s="35" t="s">
        <v>412</v>
      </c>
      <c r="B170" s="10" t="s">
        <v>62</v>
      </c>
      <c r="C170" s="10" t="s">
        <v>41</v>
      </c>
      <c r="D170" s="10" t="s">
        <v>18</v>
      </c>
      <c r="E170" s="13" t="s">
        <v>313</v>
      </c>
      <c r="F170" s="13">
        <v>600</v>
      </c>
      <c r="G170" s="14">
        <f>4914802.96-282510.15-199.76+1148666.35</f>
        <v>5780759.4000000004</v>
      </c>
      <c r="H170" s="14">
        <v>4642093.53</v>
      </c>
      <c r="I170" s="31">
        <f t="shared" si="4"/>
        <v>80.302486382671461</v>
      </c>
    </row>
    <row r="171" spans="1:9" ht="45.5" customHeight="1" x14ac:dyDescent="0.4">
      <c r="A171" s="35" t="s">
        <v>418</v>
      </c>
      <c r="B171" s="10" t="s">
        <v>62</v>
      </c>
      <c r="C171" s="10" t="s">
        <v>41</v>
      </c>
      <c r="D171" s="10" t="s">
        <v>18</v>
      </c>
      <c r="E171" s="13" t="s">
        <v>419</v>
      </c>
      <c r="F171" s="13">
        <v>600</v>
      </c>
      <c r="G171" s="14">
        <f>54495268.82+38532.01+3619264.53</f>
        <v>58153065.359999999</v>
      </c>
      <c r="H171" s="14">
        <v>55794332.93</v>
      </c>
      <c r="I171" s="31">
        <f t="shared" si="4"/>
        <v>95.943924167370838</v>
      </c>
    </row>
    <row r="172" spans="1:9" ht="64" customHeight="1" x14ac:dyDescent="0.4">
      <c r="A172" s="35" t="s">
        <v>532</v>
      </c>
      <c r="B172" s="10" t="s">
        <v>62</v>
      </c>
      <c r="C172" s="10" t="s">
        <v>41</v>
      </c>
      <c r="D172" s="10" t="s">
        <v>18</v>
      </c>
      <c r="E172" s="13" t="s">
        <v>531</v>
      </c>
      <c r="F172" s="13">
        <v>600</v>
      </c>
      <c r="G172" s="14">
        <f>13309800+1001813+10119.32</f>
        <v>14321732.32</v>
      </c>
      <c r="H172" s="14">
        <v>14211300</v>
      </c>
      <c r="I172" s="31">
        <f t="shared" si="4"/>
        <v>99.228917860405858</v>
      </c>
    </row>
    <row r="173" spans="1:9" ht="62" customHeight="1" x14ac:dyDescent="0.4">
      <c r="A173" s="35" t="s">
        <v>424</v>
      </c>
      <c r="B173" s="10" t="s">
        <v>62</v>
      </c>
      <c r="C173" s="10" t="s">
        <v>41</v>
      </c>
      <c r="D173" s="10" t="s">
        <v>18</v>
      </c>
      <c r="E173" s="13" t="s">
        <v>423</v>
      </c>
      <c r="F173" s="13">
        <v>200</v>
      </c>
      <c r="G173" s="14">
        <f>5900595.96-595.96+1415330-5545630</f>
        <v>1769700</v>
      </c>
      <c r="H173" s="14">
        <f>5900595.96-595.96+1415330-5545630</f>
        <v>1769700</v>
      </c>
      <c r="I173" s="31">
        <f t="shared" si="4"/>
        <v>100</v>
      </c>
    </row>
    <row r="174" spans="1:9" ht="64" customHeight="1" x14ac:dyDescent="0.4">
      <c r="A174" s="35" t="s">
        <v>425</v>
      </c>
      <c r="B174" s="10" t="s">
        <v>62</v>
      </c>
      <c r="C174" s="10" t="s">
        <v>41</v>
      </c>
      <c r="D174" s="10" t="s">
        <v>18</v>
      </c>
      <c r="E174" s="13" t="s">
        <v>423</v>
      </c>
      <c r="F174" s="13">
        <v>600</v>
      </c>
      <c r="G174" s="14">
        <f>12726735.4-1285.4+1379543.2+5545630</f>
        <v>19650623.199999999</v>
      </c>
      <c r="H174" s="14">
        <v>19035194.199999999</v>
      </c>
      <c r="I174" s="31">
        <f t="shared" si="4"/>
        <v>96.868145128343812</v>
      </c>
    </row>
    <row r="175" spans="1:9" ht="88.5" customHeight="1" x14ac:dyDescent="0.4">
      <c r="A175" s="35" t="s">
        <v>447</v>
      </c>
      <c r="B175" s="10" t="s">
        <v>62</v>
      </c>
      <c r="C175" s="10" t="s">
        <v>41</v>
      </c>
      <c r="D175" s="10" t="s">
        <v>18</v>
      </c>
      <c r="E175" s="13" t="s">
        <v>440</v>
      </c>
      <c r="F175" s="13">
        <v>200</v>
      </c>
      <c r="G175" s="14">
        <f>150883.74-2722.1</f>
        <v>148161.63999999998</v>
      </c>
      <c r="H175" s="14">
        <f>150883.74-2722.1</f>
        <v>148161.63999999998</v>
      </c>
      <c r="I175" s="31">
        <f t="shared" si="4"/>
        <v>100</v>
      </c>
    </row>
    <row r="176" spans="1:9" ht="88.5" customHeight="1" x14ac:dyDescent="0.4">
      <c r="A176" s="35" t="s">
        <v>448</v>
      </c>
      <c r="B176" s="10" t="s">
        <v>62</v>
      </c>
      <c r="C176" s="10" t="s">
        <v>41</v>
      </c>
      <c r="D176" s="10" t="s">
        <v>18</v>
      </c>
      <c r="E176" s="13" t="s">
        <v>440</v>
      </c>
      <c r="F176" s="13">
        <v>600</v>
      </c>
      <c r="G176" s="14">
        <f>133784.85+2722.1</f>
        <v>136506.95000000001</v>
      </c>
      <c r="H176" s="14">
        <f>133784.85+2722.1</f>
        <v>136506.95000000001</v>
      </c>
      <c r="I176" s="31">
        <f t="shared" si="4"/>
        <v>100</v>
      </c>
    </row>
    <row r="177" spans="1:9" ht="61.5" customHeight="1" x14ac:dyDescent="0.4">
      <c r="A177" s="35" t="s">
        <v>489</v>
      </c>
      <c r="B177" s="10" t="s">
        <v>62</v>
      </c>
      <c r="C177" s="10" t="s">
        <v>41</v>
      </c>
      <c r="D177" s="10" t="s">
        <v>18</v>
      </c>
      <c r="E177" s="13" t="s">
        <v>490</v>
      </c>
      <c r="F177" s="13">
        <v>600</v>
      </c>
      <c r="G177" s="14">
        <v>1300000</v>
      </c>
      <c r="H177" s="14">
        <v>1300000</v>
      </c>
      <c r="I177" s="31">
        <f t="shared" si="4"/>
        <v>100</v>
      </c>
    </row>
    <row r="178" spans="1:9" ht="71.5" customHeight="1" x14ac:dyDescent="0.4">
      <c r="A178" s="35" t="s">
        <v>310</v>
      </c>
      <c r="B178" s="10" t="s">
        <v>62</v>
      </c>
      <c r="C178" s="10" t="s">
        <v>41</v>
      </c>
      <c r="D178" s="10" t="s">
        <v>18</v>
      </c>
      <c r="E178" s="13" t="s">
        <v>309</v>
      </c>
      <c r="F178" s="13">
        <v>200</v>
      </c>
      <c r="G178" s="14">
        <f>2350055.55+59101.01+5.97</f>
        <v>2409162.5299999998</v>
      </c>
      <c r="H178" s="14">
        <f>2350055.55+59101.01+5.97</f>
        <v>2409162.5299999998</v>
      </c>
      <c r="I178" s="31">
        <f t="shared" si="4"/>
        <v>100</v>
      </c>
    </row>
    <row r="179" spans="1:9" ht="71.5" customHeight="1" x14ac:dyDescent="0.4">
      <c r="A179" s="32" t="s">
        <v>177</v>
      </c>
      <c r="B179" s="10" t="s">
        <v>62</v>
      </c>
      <c r="C179" s="10" t="s">
        <v>41</v>
      </c>
      <c r="D179" s="10" t="s">
        <v>18</v>
      </c>
      <c r="E179" s="13" t="s">
        <v>76</v>
      </c>
      <c r="F179" s="10" t="s">
        <v>23</v>
      </c>
      <c r="G179" s="14">
        <v>20000</v>
      </c>
      <c r="H179" s="14">
        <v>14400</v>
      </c>
      <c r="I179" s="31">
        <f t="shared" si="4"/>
        <v>72</v>
      </c>
    </row>
    <row r="180" spans="1:9" ht="85" customHeight="1" x14ac:dyDescent="0.4">
      <c r="A180" s="32" t="s">
        <v>176</v>
      </c>
      <c r="B180" s="10" t="s">
        <v>62</v>
      </c>
      <c r="C180" s="10" t="s">
        <v>41</v>
      </c>
      <c r="D180" s="10" t="s">
        <v>18</v>
      </c>
      <c r="E180" s="13" t="s">
        <v>76</v>
      </c>
      <c r="F180" s="10" t="s">
        <v>32</v>
      </c>
      <c r="G180" s="14">
        <v>20000</v>
      </c>
      <c r="H180" s="14">
        <v>10800</v>
      </c>
      <c r="I180" s="31">
        <f t="shared" si="4"/>
        <v>54</v>
      </c>
    </row>
    <row r="181" spans="1:9" ht="61" customHeight="1" x14ac:dyDescent="0.4">
      <c r="A181" s="35" t="s">
        <v>414</v>
      </c>
      <c r="B181" s="10" t="s">
        <v>62</v>
      </c>
      <c r="C181" s="10" t="s">
        <v>41</v>
      </c>
      <c r="D181" s="10" t="s">
        <v>18</v>
      </c>
      <c r="E181" s="13" t="s">
        <v>413</v>
      </c>
      <c r="F181" s="10" t="s">
        <v>23</v>
      </c>
      <c r="G181" s="14">
        <f>516585+82495</f>
        <v>599080</v>
      </c>
      <c r="H181" s="14">
        <f>516585+82495</f>
        <v>599080</v>
      </c>
      <c r="I181" s="31">
        <f t="shared" si="4"/>
        <v>100</v>
      </c>
    </row>
    <row r="182" spans="1:9" ht="71.5" customHeight="1" x14ac:dyDescent="0.4">
      <c r="A182" s="32" t="s">
        <v>449</v>
      </c>
      <c r="B182" s="10" t="s">
        <v>62</v>
      </c>
      <c r="C182" s="10" t="s">
        <v>41</v>
      </c>
      <c r="D182" s="10" t="s">
        <v>18</v>
      </c>
      <c r="E182" s="13" t="s">
        <v>30</v>
      </c>
      <c r="F182" s="10" t="s">
        <v>23</v>
      </c>
      <c r="G182" s="14">
        <v>110000</v>
      </c>
      <c r="H182" s="14">
        <v>110000</v>
      </c>
      <c r="I182" s="31">
        <f t="shared" si="4"/>
        <v>100</v>
      </c>
    </row>
    <row r="183" spans="1:9" ht="56" customHeight="1" x14ac:dyDescent="0.4">
      <c r="A183" s="35" t="s">
        <v>273</v>
      </c>
      <c r="B183" s="10" t="s">
        <v>62</v>
      </c>
      <c r="C183" s="10" t="s">
        <v>41</v>
      </c>
      <c r="D183" s="10" t="s">
        <v>18</v>
      </c>
      <c r="E183" s="13" t="s">
        <v>187</v>
      </c>
      <c r="F183" s="10" t="s">
        <v>23</v>
      </c>
      <c r="G183" s="14">
        <f>80000-20000</f>
        <v>60000</v>
      </c>
      <c r="H183" s="14">
        <f>80000-20000</f>
        <v>60000</v>
      </c>
      <c r="I183" s="31">
        <f t="shared" si="4"/>
        <v>100</v>
      </c>
    </row>
    <row r="184" spans="1:9" ht="59" customHeight="1" x14ac:dyDescent="0.4">
      <c r="A184" s="35" t="s">
        <v>274</v>
      </c>
      <c r="B184" s="10" t="s">
        <v>62</v>
      </c>
      <c r="C184" s="10" t="s">
        <v>41</v>
      </c>
      <c r="D184" s="10" t="s">
        <v>18</v>
      </c>
      <c r="E184" s="13" t="s">
        <v>187</v>
      </c>
      <c r="F184" s="10" t="s">
        <v>32</v>
      </c>
      <c r="G184" s="14">
        <f>60000+20000</f>
        <v>80000</v>
      </c>
      <c r="H184" s="14">
        <f>60000+20000</f>
        <v>80000</v>
      </c>
      <c r="I184" s="31">
        <f t="shared" si="4"/>
        <v>100</v>
      </c>
    </row>
    <row r="185" spans="1:9" ht="58.5" customHeight="1" x14ac:dyDescent="0.4">
      <c r="A185" s="32" t="s">
        <v>74</v>
      </c>
      <c r="B185" s="10" t="s">
        <v>62</v>
      </c>
      <c r="C185" s="10" t="s">
        <v>41</v>
      </c>
      <c r="D185" s="10" t="s">
        <v>39</v>
      </c>
      <c r="E185" s="13" t="s">
        <v>75</v>
      </c>
      <c r="F185" s="10" t="s">
        <v>32</v>
      </c>
      <c r="G185" s="14">
        <f>9684224.05+218249.83+104534.96+72294.89+30000-721597.72+500000+43798+214585.31+220000+313700+14242.56</f>
        <v>10694031.880000003</v>
      </c>
      <c r="H185" s="14">
        <f>9684224.05+218249.83+104534.96+72294.89+30000-721597.72+500000+43798+214585.31+220000+313700+14242.56</f>
        <v>10694031.880000003</v>
      </c>
      <c r="I185" s="31">
        <f t="shared" si="4"/>
        <v>100</v>
      </c>
    </row>
    <row r="186" spans="1:9" ht="89.5" customHeight="1" x14ac:dyDescent="0.4">
      <c r="A186" s="33" t="s">
        <v>316</v>
      </c>
      <c r="B186" s="10" t="s">
        <v>62</v>
      </c>
      <c r="C186" s="10" t="s">
        <v>41</v>
      </c>
      <c r="D186" s="10" t="s">
        <v>39</v>
      </c>
      <c r="E186" s="13" t="s">
        <v>314</v>
      </c>
      <c r="F186" s="10" t="s">
        <v>32</v>
      </c>
      <c r="G186" s="14">
        <f>2173267.12-189.57-6138.92</f>
        <v>2166938.6300000004</v>
      </c>
      <c r="H186" s="14">
        <f>2173267.12-189.57-6138.92</f>
        <v>2166938.6300000004</v>
      </c>
      <c r="I186" s="31">
        <f t="shared" si="4"/>
        <v>100</v>
      </c>
    </row>
    <row r="187" spans="1:9" ht="90" customHeight="1" x14ac:dyDescent="0.4">
      <c r="A187" s="33" t="s">
        <v>317</v>
      </c>
      <c r="B187" s="10" t="s">
        <v>62</v>
      </c>
      <c r="C187" s="10" t="s">
        <v>41</v>
      </c>
      <c r="D187" s="10" t="s">
        <v>39</v>
      </c>
      <c r="E187" s="13" t="s">
        <v>315</v>
      </c>
      <c r="F187" s="10" t="s">
        <v>32</v>
      </c>
      <c r="G187" s="14">
        <v>1806131.03</v>
      </c>
      <c r="H187" s="14">
        <v>1806131.03</v>
      </c>
      <c r="I187" s="31">
        <f t="shared" si="4"/>
        <v>100</v>
      </c>
    </row>
    <row r="188" spans="1:9" ht="89" customHeight="1" x14ac:dyDescent="0.4">
      <c r="A188" s="32" t="s">
        <v>245</v>
      </c>
      <c r="B188" s="10" t="s">
        <v>62</v>
      </c>
      <c r="C188" s="10" t="s">
        <v>41</v>
      </c>
      <c r="D188" s="10" t="s">
        <v>39</v>
      </c>
      <c r="E188" s="13" t="s">
        <v>216</v>
      </c>
      <c r="F188" s="10" t="s">
        <v>32</v>
      </c>
      <c r="G188" s="14">
        <v>21936.81</v>
      </c>
      <c r="H188" s="14">
        <v>21936.81</v>
      </c>
      <c r="I188" s="31">
        <f t="shared" ref="I188:I233" si="5">H188/G188*100</f>
        <v>100</v>
      </c>
    </row>
    <row r="189" spans="1:9" ht="61" customHeight="1" x14ac:dyDescent="0.4">
      <c r="A189" s="32" t="s">
        <v>197</v>
      </c>
      <c r="B189" s="10" t="s">
        <v>62</v>
      </c>
      <c r="C189" s="10" t="s">
        <v>41</v>
      </c>
      <c r="D189" s="10" t="s">
        <v>39</v>
      </c>
      <c r="E189" s="13" t="s">
        <v>183</v>
      </c>
      <c r="F189" s="10" t="s">
        <v>32</v>
      </c>
      <c r="G189" s="14">
        <v>151600</v>
      </c>
      <c r="H189" s="14">
        <v>151300.41</v>
      </c>
      <c r="I189" s="31">
        <f t="shared" si="5"/>
        <v>99.802381266490769</v>
      </c>
    </row>
    <row r="190" spans="1:9" ht="73.5" customHeight="1" x14ac:dyDescent="0.4">
      <c r="A190" s="33" t="s">
        <v>383</v>
      </c>
      <c r="B190" s="10" t="s">
        <v>62</v>
      </c>
      <c r="C190" s="10" t="s">
        <v>41</v>
      </c>
      <c r="D190" s="10" t="s">
        <v>39</v>
      </c>
      <c r="E190" s="13" t="s">
        <v>382</v>
      </c>
      <c r="F190" s="10" t="s">
        <v>32</v>
      </c>
      <c r="G190" s="14">
        <v>200000</v>
      </c>
      <c r="H190" s="14">
        <v>200000</v>
      </c>
      <c r="I190" s="31">
        <f t="shared" si="5"/>
        <v>100</v>
      </c>
    </row>
    <row r="191" spans="1:9" ht="86" customHeight="1" x14ac:dyDescent="0.4">
      <c r="A191" s="33" t="s">
        <v>416</v>
      </c>
      <c r="B191" s="10" t="s">
        <v>62</v>
      </c>
      <c r="C191" s="10" t="s">
        <v>41</v>
      </c>
      <c r="D191" s="10" t="s">
        <v>39</v>
      </c>
      <c r="E191" s="13" t="s">
        <v>415</v>
      </c>
      <c r="F191" s="10" t="s">
        <v>32</v>
      </c>
      <c r="G191" s="14">
        <v>172490</v>
      </c>
      <c r="H191" s="14">
        <v>172490</v>
      </c>
      <c r="I191" s="31">
        <f t="shared" si="5"/>
        <v>100</v>
      </c>
    </row>
    <row r="192" spans="1:9" ht="76.5" customHeight="1" x14ac:dyDescent="0.4">
      <c r="A192" s="33" t="s">
        <v>433</v>
      </c>
      <c r="B192" s="10" t="s">
        <v>62</v>
      </c>
      <c r="C192" s="10" t="s">
        <v>41</v>
      </c>
      <c r="D192" s="10" t="s">
        <v>39</v>
      </c>
      <c r="E192" s="13" t="s">
        <v>432</v>
      </c>
      <c r="F192" s="10" t="s">
        <v>32</v>
      </c>
      <c r="G192" s="14">
        <f>729740-669530</f>
        <v>60210</v>
      </c>
      <c r="H192" s="14">
        <f>729740-669530</f>
        <v>60210</v>
      </c>
      <c r="I192" s="31">
        <f t="shared" si="5"/>
        <v>100</v>
      </c>
    </row>
    <row r="193" spans="1:9" ht="89" customHeight="1" x14ac:dyDescent="0.4">
      <c r="A193" s="33" t="s">
        <v>503</v>
      </c>
      <c r="B193" s="10" t="s">
        <v>62</v>
      </c>
      <c r="C193" s="10" t="s">
        <v>41</v>
      </c>
      <c r="D193" s="10" t="s">
        <v>39</v>
      </c>
      <c r="E193" s="13" t="s">
        <v>502</v>
      </c>
      <c r="F193" s="10" t="s">
        <v>32</v>
      </c>
      <c r="G193" s="14">
        <v>30000</v>
      </c>
      <c r="H193" s="14">
        <v>30000</v>
      </c>
      <c r="I193" s="31">
        <f t="shared" si="5"/>
        <v>100</v>
      </c>
    </row>
    <row r="194" spans="1:9" ht="72.5" customHeight="1" x14ac:dyDescent="0.4">
      <c r="A194" s="42" t="s">
        <v>523</v>
      </c>
      <c r="B194" s="10" t="s">
        <v>62</v>
      </c>
      <c r="C194" s="10" t="s">
        <v>41</v>
      </c>
      <c r="D194" s="10" t="s">
        <v>39</v>
      </c>
      <c r="E194" s="13" t="s">
        <v>522</v>
      </c>
      <c r="F194" s="10" t="s">
        <v>32</v>
      </c>
      <c r="G194" s="14">
        <f>6000+600000</f>
        <v>606000</v>
      </c>
      <c r="H194" s="14">
        <v>600000</v>
      </c>
      <c r="I194" s="31">
        <f t="shared" si="5"/>
        <v>99.009900990099013</v>
      </c>
    </row>
    <row r="195" spans="1:9" ht="78" customHeight="1" x14ac:dyDescent="0.4">
      <c r="A195" s="42" t="s">
        <v>525</v>
      </c>
      <c r="B195" s="10" t="s">
        <v>62</v>
      </c>
      <c r="C195" s="10" t="s">
        <v>41</v>
      </c>
      <c r="D195" s="10" t="s">
        <v>39</v>
      </c>
      <c r="E195" s="13" t="s">
        <v>524</v>
      </c>
      <c r="F195" s="10" t="s">
        <v>32</v>
      </c>
      <c r="G195" s="14">
        <v>6000</v>
      </c>
      <c r="H195" s="14">
        <v>0</v>
      </c>
      <c r="I195" s="31">
        <f t="shared" si="5"/>
        <v>0</v>
      </c>
    </row>
    <row r="196" spans="1:9" ht="59" customHeight="1" x14ac:dyDescent="0.4">
      <c r="A196" s="33" t="s">
        <v>364</v>
      </c>
      <c r="B196" s="10" t="s">
        <v>62</v>
      </c>
      <c r="C196" s="10" t="s">
        <v>41</v>
      </c>
      <c r="D196" s="10" t="s">
        <v>39</v>
      </c>
      <c r="E196" s="13" t="s">
        <v>367</v>
      </c>
      <c r="F196" s="10" t="s">
        <v>32</v>
      </c>
      <c r="G196" s="14">
        <v>909090.91</v>
      </c>
      <c r="H196" s="14">
        <v>909090.91</v>
      </c>
      <c r="I196" s="31">
        <f t="shared" si="5"/>
        <v>100</v>
      </c>
    </row>
    <row r="197" spans="1:9" ht="49.5" x14ac:dyDescent="0.4">
      <c r="A197" s="33" t="s">
        <v>429</v>
      </c>
      <c r="B197" s="10" t="s">
        <v>62</v>
      </c>
      <c r="C197" s="10" t="s">
        <v>41</v>
      </c>
      <c r="D197" s="10" t="s">
        <v>39</v>
      </c>
      <c r="E197" s="13" t="s">
        <v>428</v>
      </c>
      <c r="F197" s="10" t="s">
        <v>32</v>
      </c>
      <c r="G197" s="14">
        <f>41271638.43-4168.43+3621047.21+1156772.42+6400580+5140120</f>
        <v>57585989.630000003</v>
      </c>
      <c r="H197" s="14">
        <v>52098755.490000002</v>
      </c>
      <c r="I197" s="31">
        <f t="shared" si="5"/>
        <v>90.471234105280757</v>
      </c>
    </row>
    <row r="198" spans="1:9" ht="57" customHeight="1" x14ac:dyDescent="0.4">
      <c r="A198" s="33" t="s">
        <v>475</v>
      </c>
      <c r="B198" s="10" t="s">
        <v>62</v>
      </c>
      <c r="C198" s="10" t="s">
        <v>41</v>
      </c>
      <c r="D198" s="10" t="s">
        <v>39</v>
      </c>
      <c r="E198" s="13" t="s">
        <v>460</v>
      </c>
      <c r="F198" s="13">
        <v>600</v>
      </c>
      <c r="G198" s="14">
        <f>721597.44+10681.92-10681.92</f>
        <v>721597.43999999994</v>
      </c>
      <c r="H198" s="14">
        <f>721597.44+10681.92-10681.92</f>
        <v>721597.43999999994</v>
      </c>
      <c r="I198" s="31">
        <f t="shared" si="5"/>
        <v>100</v>
      </c>
    </row>
    <row r="199" spans="1:9" ht="66" x14ac:dyDescent="0.4">
      <c r="A199" s="32" t="s">
        <v>354</v>
      </c>
      <c r="B199" s="10" t="s">
        <v>62</v>
      </c>
      <c r="C199" s="10" t="s">
        <v>41</v>
      </c>
      <c r="D199" s="10" t="s">
        <v>39</v>
      </c>
      <c r="E199" s="13" t="s">
        <v>353</v>
      </c>
      <c r="F199" s="10" t="s">
        <v>32</v>
      </c>
      <c r="G199" s="14">
        <v>492532.4</v>
      </c>
      <c r="H199" s="14">
        <v>492509.08</v>
      </c>
      <c r="I199" s="31">
        <f t="shared" si="5"/>
        <v>99.995265286100974</v>
      </c>
    </row>
    <row r="200" spans="1:9" ht="62" customHeight="1" x14ac:dyDescent="0.4">
      <c r="A200" s="32" t="s">
        <v>355</v>
      </c>
      <c r="B200" s="10" t="s">
        <v>62</v>
      </c>
      <c r="C200" s="10" t="s">
        <v>41</v>
      </c>
      <c r="D200" s="10" t="s">
        <v>39</v>
      </c>
      <c r="E200" s="13" t="s">
        <v>187</v>
      </c>
      <c r="F200" s="10" t="s">
        <v>32</v>
      </c>
      <c r="G200" s="14">
        <v>40000</v>
      </c>
      <c r="H200" s="14">
        <v>40000</v>
      </c>
      <c r="I200" s="31">
        <f t="shared" si="5"/>
        <v>100</v>
      </c>
    </row>
    <row r="201" spans="1:9" ht="74" customHeight="1" x14ac:dyDescent="0.4">
      <c r="A201" s="32" t="s">
        <v>97</v>
      </c>
      <c r="B201" s="10" t="s">
        <v>62</v>
      </c>
      <c r="C201" s="10" t="s">
        <v>41</v>
      </c>
      <c r="D201" s="10" t="s">
        <v>26</v>
      </c>
      <c r="E201" s="13" t="s">
        <v>78</v>
      </c>
      <c r="F201" s="10" t="s">
        <v>23</v>
      </c>
      <c r="G201" s="14">
        <v>30000</v>
      </c>
      <c r="H201" s="14">
        <v>15000</v>
      </c>
      <c r="I201" s="31">
        <f t="shared" si="5"/>
        <v>50</v>
      </c>
    </row>
    <row r="202" spans="1:9" ht="86.5" customHeight="1" x14ac:dyDescent="0.4">
      <c r="A202" s="32" t="s">
        <v>79</v>
      </c>
      <c r="B202" s="10" t="s">
        <v>62</v>
      </c>
      <c r="C202" s="10" t="s">
        <v>41</v>
      </c>
      <c r="D202" s="10" t="s">
        <v>26</v>
      </c>
      <c r="E202" s="13" t="s">
        <v>78</v>
      </c>
      <c r="F202" s="10" t="s">
        <v>32</v>
      </c>
      <c r="G202" s="14">
        <v>20000</v>
      </c>
      <c r="H202" s="14">
        <v>4800</v>
      </c>
      <c r="I202" s="31">
        <f t="shared" si="5"/>
        <v>24</v>
      </c>
    </row>
    <row r="203" spans="1:9" ht="74" customHeight="1" x14ac:dyDescent="0.4">
      <c r="A203" s="38" t="s">
        <v>100</v>
      </c>
      <c r="B203" s="10" t="s">
        <v>62</v>
      </c>
      <c r="C203" s="10" t="s">
        <v>41</v>
      </c>
      <c r="D203" s="10" t="s">
        <v>26</v>
      </c>
      <c r="E203" s="13" t="s">
        <v>89</v>
      </c>
      <c r="F203" s="10" t="s">
        <v>23</v>
      </c>
      <c r="G203" s="14">
        <v>8000</v>
      </c>
      <c r="H203" s="14">
        <v>5540</v>
      </c>
      <c r="I203" s="31">
        <f t="shared" si="5"/>
        <v>69.25</v>
      </c>
    </row>
    <row r="204" spans="1:9" ht="60" customHeight="1" x14ac:dyDescent="0.4">
      <c r="A204" s="33" t="s">
        <v>275</v>
      </c>
      <c r="B204" s="10" t="s">
        <v>62</v>
      </c>
      <c r="C204" s="10" t="s">
        <v>41</v>
      </c>
      <c r="D204" s="10" t="s">
        <v>41</v>
      </c>
      <c r="E204" s="13" t="s">
        <v>158</v>
      </c>
      <c r="F204" s="10" t="s">
        <v>32</v>
      </c>
      <c r="G204" s="14">
        <v>22100</v>
      </c>
      <c r="H204" s="14">
        <v>22100</v>
      </c>
      <c r="I204" s="31">
        <f t="shared" si="5"/>
        <v>100</v>
      </c>
    </row>
    <row r="205" spans="1:9" ht="67.5" customHeight="1" x14ac:dyDescent="0.4">
      <c r="A205" s="32" t="s">
        <v>244</v>
      </c>
      <c r="B205" s="10" t="s">
        <v>62</v>
      </c>
      <c r="C205" s="10" t="s">
        <v>41</v>
      </c>
      <c r="D205" s="10" t="s">
        <v>41</v>
      </c>
      <c r="E205" s="15" t="s">
        <v>80</v>
      </c>
      <c r="F205" s="13">
        <v>200</v>
      </c>
      <c r="G205" s="14">
        <f>135408+54684-26040</f>
        <v>164052</v>
      </c>
      <c r="H205" s="14">
        <f>135408+54684-26040</f>
        <v>164052</v>
      </c>
      <c r="I205" s="31">
        <f t="shared" si="5"/>
        <v>100</v>
      </c>
    </row>
    <row r="206" spans="1:9" ht="71.5" customHeight="1" x14ac:dyDescent="0.4">
      <c r="A206" s="32" t="s">
        <v>243</v>
      </c>
      <c r="B206" s="10" t="s">
        <v>62</v>
      </c>
      <c r="C206" s="10" t="s">
        <v>41</v>
      </c>
      <c r="D206" s="10" t="s">
        <v>41</v>
      </c>
      <c r="E206" s="15" t="s">
        <v>80</v>
      </c>
      <c r="F206" s="13">
        <v>600</v>
      </c>
      <c r="G206" s="14">
        <f>411432+171864+26040</f>
        <v>609336</v>
      </c>
      <c r="H206" s="14">
        <f>411432+171864+26040</f>
        <v>609336</v>
      </c>
      <c r="I206" s="31">
        <f t="shared" si="5"/>
        <v>100</v>
      </c>
    </row>
    <row r="207" spans="1:9" ht="72.5" customHeight="1" x14ac:dyDescent="0.4">
      <c r="A207" s="32" t="s">
        <v>168</v>
      </c>
      <c r="B207" s="10" t="s">
        <v>62</v>
      </c>
      <c r="C207" s="10" t="s">
        <v>41</v>
      </c>
      <c r="D207" s="10" t="s">
        <v>41</v>
      </c>
      <c r="E207" s="15" t="s">
        <v>169</v>
      </c>
      <c r="F207" s="13">
        <v>200</v>
      </c>
      <c r="G207" s="14">
        <v>52080</v>
      </c>
      <c r="H207" s="14">
        <v>52080</v>
      </c>
      <c r="I207" s="31">
        <f t="shared" si="5"/>
        <v>100</v>
      </c>
    </row>
    <row r="208" spans="1:9" ht="82" customHeight="1" x14ac:dyDescent="0.4">
      <c r="A208" s="32" t="s">
        <v>146</v>
      </c>
      <c r="B208" s="10" t="s">
        <v>62</v>
      </c>
      <c r="C208" s="10" t="s">
        <v>41</v>
      </c>
      <c r="D208" s="10" t="s">
        <v>41</v>
      </c>
      <c r="E208" s="13" t="s">
        <v>81</v>
      </c>
      <c r="F208" s="10" t="s">
        <v>23</v>
      </c>
      <c r="G208" s="14">
        <v>19590</v>
      </c>
      <c r="H208" s="14">
        <v>19590</v>
      </c>
      <c r="I208" s="31">
        <f t="shared" si="5"/>
        <v>100</v>
      </c>
    </row>
    <row r="209" spans="1:9" ht="85.5" customHeight="1" x14ac:dyDescent="0.4">
      <c r="A209" s="32" t="s">
        <v>206</v>
      </c>
      <c r="B209" s="10" t="s">
        <v>62</v>
      </c>
      <c r="C209" s="10" t="s">
        <v>41</v>
      </c>
      <c r="D209" s="10" t="s">
        <v>41</v>
      </c>
      <c r="E209" s="13" t="s">
        <v>81</v>
      </c>
      <c r="F209" s="10" t="s">
        <v>32</v>
      </c>
      <c r="G209" s="14">
        <v>65000</v>
      </c>
      <c r="H209" s="14">
        <v>65000</v>
      </c>
      <c r="I209" s="31">
        <f t="shared" si="5"/>
        <v>100</v>
      </c>
    </row>
    <row r="210" spans="1:9" ht="69" customHeight="1" x14ac:dyDescent="0.4">
      <c r="A210" s="32" t="s">
        <v>134</v>
      </c>
      <c r="B210" s="10" t="s">
        <v>62</v>
      </c>
      <c r="C210" s="10" t="s">
        <v>41</v>
      </c>
      <c r="D210" s="10" t="s">
        <v>41</v>
      </c>
      <c r="E210" s="13" t="s">
        <v>43</v>
      </c>
      <c r="F210" s="10" t="s">
        <v>23</v>
      </c>
      <c r="G210" s="14">
        <f>15000-10000+60000-30000</f>
        <v>35000</v>
      </c>
      <c r="H210" s="14">
        <f>15000-10000+60000-30000</f>
        <v>35000</v>
      </c>
      <c r="I210" s="31">
        <f t="shared" si="5"/>
        <v>100</v>
      </c>
    </row>
    <row r="211" spans="1:9" ht="71" customHeight="1" x14ac:dyDescent="0.4">
      <c r="A211" s="32" t="s">
        <v>179</v>
      </c>
      <c r="B211" s="10" t="s">
        <v>62</v>
      </c>
      <c r="C211" s="10" t="s">
        <v>41</v>
      </c>
      <c r="D211" s="10" t="s">
        <v>41</v>
      </c>
      <c r="E211" s="13" t="s">
        <v>43</v>
      </c>
      <c r="F211" s="10" t="s">
        <v>32</v>
      </c>
      <c r="G211" s="14">
        <v>30000</v>
      </c>
      <c r="H211" s="14">
        <v>30000</v>
      </c>
      <c r="I211" s="31">
        <f t="shared" si="5"/>
        <v>100</v>
      </c>
    </row>
    <row r="212" spans="1:9" ht="58" customHeight="1" x14ac:dyDescent="0.4">
      <c r="A212" s="32" t="s">
        <v>207</v>
      </c>
      <c r="B212" s="10" t="s">
        <v>62</v>
      </c>
      <c r="C212" s="10" t="s">
        <v>41</v>
      </c>
      <c r="D212" s="10" t="s">
        <v>41</v>
      </c>
      <c r="E212" s="13" t="s">
        <v>198</v>
      </c>
      <c r="F212" s="10" t="s">
        <v>32</v>
      </c>
      <c r="G212" s="14">
        <v>10000</v>
      </c>
      <c r="H212" s="14">
        <v>10000</v>
      </c>
      <c r="I212" s="31">
        <f t="shared" si="5"/>
        <v>100</v>
      </c>
    </row>
    <row r="213" spans="1:9" ht="57.5" customHeight="1" x14ac:dyDescent="0.4">
      <c r="A213" s="32" t="s">
        <v>384</v>
      </c>
      <c r="B213" s="10" t="s">
        <v>62</v>
      </c>
      <c r="C213" s="10" t="s">
        <v>41</v>
      </c>
      <c r="D213" s="10" t="s">
        <v>41</v>
      </c>
      <c r="E213" s="13" t="s">
        <v>147</v>
      </c>
      <c r="F213" s="10" t="s">
        <v>32</v>
      </c>
      <c r="G213" s="14">
        <v>18800</v>
      </c>
      <c r="H213" s="14">
        <v>18800</v>
      </c>
      <c r="I213" s="31">
        <f t="shared" si="5"/>
        <v>100</v>
      </c>
    </row>
    <row r="214" spans="1:9" ht="70" customHeight="1" x14ac:dyDescent="0.4">
      <c r="A214" s="34" t="s">
        <v>270</v>
      </c>
      <c r="B214" s="10" t="s">
        <v>62</v>
      </c>
      <c r="C214" s="10" t="s">
        <v>41</v>
      </c>
      <c r="D214" s="10" t="s">
        <v>41</v>
      </c>
      <c r="E214" s="13" t="s">
        <v>150</v>
      </c>
      <c r="F214" s="10" t="s">
        <v>32</v>
      </c>
      <c r="G214" s="14">
        <v>44000</v>
      </c>
      <c r="H214" s="14">
        <v>44000</v>
      </c>
      <c r="I214" s="31">
        <f t="shared" si="5"/>
        <v>100</v>
      </c>
    </row>
    <row r="215" spans="1:9" ht="55.5" customHeight="1" x14ac:dyDescent="0.4">
      <c r="A215" s="33" t="s">
        <v>385</v>
      </c>
      <c r="B215" s="10" t="s">
        <v>62</v>
      </c>
      <c r="C215" s="10" t="s">
        <v>41</v>
      </c>
      <c r="D215" s="10" t="s">
        <v>41</v>
      </c>
      <c r="E215" s="13" t="s">
        <v>230</v>
      </c>
      <c r="F215" s="10" t="s">
        <v>32</v>
      </c>
      <c r="G215" s="14">
        <v>10000</v>
      </c>
      <c r="H215" s="14">
        <v>10000</v>
      </c>
      <c r="I215" s="31">
        <f t="shared" si="5"/>
        <v>100</v>
      </c>
    </row>
    <row r="216" spans="1:9" ht="55.5" customHeight="1" x14ac:dyDescent="0.4">
      <c r="A216" s="33" t="s">
        <v>386</v>
      </c>
      <c r="B216" s="10" t="s">
        <v>62</v>
      </c>
      <c r="C216" s="10" t="s">
        <v>41</v>
      </c>
      <c r="D216" s="10" t="s">
        <v>41</v>
      </c>
      <c r="E216" s="13" t="s">
        <v>231</v>
      </c>
      <c r="F216" s="10" t="s">
        <v>32</v>
      </c>
      <c r="G216" s="14">
        <v>5000</v>
      </c>
      <c r="H216" s="14">
        <v>5000</v>
      </c>
      <c r="I216" s="31">
        <f t="shared" si="5"/>
        <v>100</v>
      </c>
    </row>
    <row r="217" spans="1:9" ht="73" customHeight="1" x14ac:dyDescent="0.4">
      <c r="A217" s="32" t="s">
        <v>151</v>
      </c>
      <c r="B217" s="10" t="s">
        <v>62</v>
      </c>
      <c r="C217" s="10" t="s">
        <v>41</v>
      </c>
      <c r="D217" s="10" t="s">
        <v>35</v>
      </c>
      <c r="E217" s="13" t="s">
        <v>82</v>
      </c>
      <c r="F217" s="10" t="s">
        <v>20</v>
      </c>
      <c r="G217" s="14">
        <f>7945177.42+231988.32+76777.2+54639.59+217017.36+190854.92+240527.84+10348.08</f>
        <v>8967330.7300000004</v>
      </c>
      <c r="H217" s="14">
        <v>8948506.9600000009</v>
      </c>
      <c r="I217" s="31">
        <f t="shared" si="5"/>
        <v>99.790085025669612</v>
      </c>
    </row>
    <row r="218" spans="1:9" ht="53" customHeight="1" x14ac:dyDescent="0.4">
      <c r="A218" s="32" t="s">
        <v>107</v>
      </c>
      <c r="B218" s="10" t="s">
        <v>62</v>
      </c>
      <c r="C218" s="10" t="s">
        <v>41</v>
      </c>
      <c r="D218" s="10" t="s">
        <v>35</v>
      </c>
      <c r="E218" s="13" t="s">
        <v>82</v>
      </c>
      <c r="F218" s="10" t="s">
        <v>23</v>
      </c>
      <c r="G218" s="14">
        <f>1612443.62+58821.12+234415.53+50828</f>
        <v>1956508.2700000003</v>
      </c>
      <c r="H218" s="14">
        <v>1763689.04</v>
      </c>
      <c r="I218" s="31">
        <f t="shared" si="5"/>
        <v>90.144727065222156</v>
      </c>
    </row>
    <row r="219" spans="1:9" ht="44.25" customHeight="1" x14ac:dyDescent="0.4">
      <c r="A219" s="32" t="s">
        <v>108</v>
      </c>
      <c r="B219" s="10" t="s">
        <v>62</v>
      </c>
      <c r="C219" s="10" t="s">
        <v>41</v>
      </c>
      <c r="D219" s="10" t="s">
        <v>35</v>
      </c>
      <c r="E219" s="13" t="s">
        <v>82</v>
      </c>
      <c r="F219" s="10" t="s">
        <v>25</v>
      </c>
      <c r="G219" s="14">
        <f>22500-10828</f>
        <v>11672</v>
      </c>
      <c r="H219" s="14">
        <f>22500-10828</f>
        <v>11672</v>
      </c>
      <c r="I219" s="31">
        <f t="shared" si="5"/>
        <v>100</v>
      </c>
    </row>
    <row r="220" spans="1:9" ht="56" customHeight="1" x14ac:dyDescent="0.4">
      <c r="A220" s="33" t="s">
        <v>312</v>
      </c>
      <c r="B220" s="10" t="s">
        <v>62</v>
      </c>
      <c r="C220" s="10" t="s">
        <v>41</v>
      </c>
      <c r="D220" s="10" t="s">
        <v>35</v>
      </c>
      <c r="E220" s="13" t="s">
        <v>311</v>
      </c>
      <c r="F220" s="10" t="s">
        <v>23</v>
      </c>
      <c r="G220" s="14">
        <v>15000</v>
      </c>
      <c r="H220" s="14">
        <v>15000</v>
      </c>
      <c r="I220" s="31">
        <f t="shared" si="5"/>
        <v>100</v>
      </c>
    </row>
    <row r="221" spans="1:9" ht="57.5" customHeight="1" x14ac:dyDescent="0.4">
      <c r="A221" s="32" t="s">
        <v>152</v>
      </c>
      <c r="B221" s="10" t="s">
        <v>62</v>
      </c>
      <c r="C221" s="10" t="s">
        <v>41</v>
      </c>
      <c r="D221" s="10" t="s">
        <v>35</v>
      </c>
      <c r="E221" s="13" t="s">
        <v>153</v>
      </c>
      <c r="F221" s="10" t="s">
        <v>23</v>
      </c>
      <c r="G221" s="14">
        <f>30000-10000</f>
        <v>20000</v>
      </c>
      <c r="H221" s="14">
        <f>30000-10000</f>
        <v>20000</v>
      </c>
      <c r="I221" s="31">
        <f t="shared" si="5"/>
        <v>100</v>
      </c>
    </row>
    <row r="222" spans="1:9" ht="60.5" customHeight="1" x14ac:dyDescent="0.4">
      <c r="A222" s="32" t="s">
        <v>387</v>
      </c>
      <c r="B222" s="10" t="s">
        <v>62</v>
      </c>
      <c r="C222" s="10" t="s">
        <v>41</v>
      </c>
      <c r="D222" s="10" t="s">
        <v>35</v>
      </c>
      <c r="E222" s="13" t="s">
        <v>153</v>
      </c>
      <c r="F222" s="10" t="s">
        <v>32</v>
      </c>
      <c r="G222" s="14">
        <v>10000</v>
      </c>
      <c r="H222" s="14">
        <v>10000</v>
      </c>
      <c r="I222" s="31">
        <f t="shared" si="5"/>
        <v>100</v>
      </c>
    </row>
    <row r="223" spans="1:9" ht="56" customHeight="1" x14ac:dyDescent="0.4">
      <c r="A223" s="32" t="s">
        <v>98</v>
      </c>
      <c r="B223" s="10" t="s">
        <v>62</v>
      </c>
      <c r="C223" s="10" t="s">
        <v>41</v>
      </c>
      <c r="D223" s="10" t="s">
        <v>35</v>
      </c>
      <c r="E223" s="13" t="s">
        <v>90</v>
      </c>
      <c r="F223" s="10" t="s">
        <v>23</v>
      </c>
      <c r="G223" s="14">
        <v>10000</v>
      </c>
      <c r="H223" s="14">
        <v>10000</v>
      </c>
      <c r="I223" s="31">
        <f t="shared" si="5"/>
        <v>100</v>
      </c>
    </row>
    <row r="224" spans="1:9" ht="57.5" customHeight="1" x14ac:dyDescent="0.4">
      <c r="A224" s="32" t="s">
        <v>388</v>
      </c>
      <c r="B224" s="10" t="s">
        <v>62</v>
      </c>
      <c r="C224" s="10" t="s">
        <v>41</v>
      </c>
      <c r="D224" s="10" t="s">
        <v>35</v>
      </c>
      <c r="E224" s="13" t="s">
        <v>77</v>
      </c>
      <c r="F224" s="10" t="s">
        <v>32</v>
      </c>
      <c r="G224" s="14">
        <v>10000</v>
      </c>
      <c r="H224" s="14">
        <v>10000</v>
      </c>
      <c r="I224" s="31">
        <f t="shared" si="5"/>
        <v>100</v>
      </c>
    </row>
    <row r="225" spans="1:9" ht="49.5" x14ac:dyDescent="0.4">
      <c r="A225" s="33" t="s">
        <v>357</v>
      </c>
      <c r="B225" s="10" t="s">
        <v>62</v>
      </c>
      <c r="C225" s="10" t="s">
        <v>41</v>
      </c>
      <c r="D225" s="10" t="s">
        <v>35</v>
      </c>
      <c r="E225" s="13" t="s">
        <v>356</v>
      </c>
      <c r="F225" s="10" t="s">
        <v>23</v>
      </c>
      <c r="G225" s="14">
        <v>30000</v>
      </c>
      <c r="H225" s="14">
        <v>0</v>
      </c>
      <c r="I225" s="31">
        <f t="shared" si="5"/>
        <v>0</v>
      </c>
    </row>
    <row r="226" spans="1:9" ht="89.5" customHeight="1" x14ac:dyDescent="0.4">
      <c r="A226" s="32" t="s">
        <v>112</v>
      </c>
      <c r="B226" s="10" t="s">
        <v>62</v>
      </c>
      <c r="C226" s="10" t="s">
        <v>41</v>
      </c>
      <c r="D226" s="10" t="s">
        <v>35</v>
      </c>
      <c r="E226" s="13" t="s">
        <v>22</v>
      </c>
      <c r="F226" s="10" t="s">
        <v>20</v>
      </c>
      <c r="G226" s="14">
        <f>2813435.39+4265.4+28478.03+10176.03+294755.05+12659.36</f>
        <v>3163769.2599999993</v>
      </c>
      <c r="H226" s="14">
        <v>3158046.22</v>
      </c>
      <c r="I226" s="31">
        <f t="shared" si="5"/>
        <v>99.81910690920617</v>
      </c>
    </row>
    <row r="227" spans="1:9" ht="74.5" customHeight="1" x14ac:dyDescent="0.4">
      <c r="A227" s="32" t="s">
        <v>542</v>
      </c>
      <c r="B227" s="10" t="s">
        <v>62</v>
      </c>
      <c r="C227" s="10" t="s">
        <v>41</v>
      </c>
      <c r="D227" s="10" t="s">
        <v>35</v>
      </c>
      <c r="E227" s="13" t="s">
        <v>22</v>
      </c>
      <c r="F227" s="10" t="s">
        <v>23</v>
      </c>
      <c r="G227" s="14">
        <f>150000+7131.31</f>
        <v>157131.31</v>
      </c>
      <c r="H227" s="14">
        <v>154744.88</v>
      </c>
      <c r="I227" s="31">
        <f t="shared" si="5"/>
        <v>98.481251126844171</v>
      </c>
    </row>
    <row r="228" spans="1:9" ht="56" customHeight="1" x14ac:dyDescent="0.4">
      <c r="A228" s="33" t="s">
        <v>237</v>
      </c>
      <c r="B228" s="10" t="s">
        <v>62</v>
      </c>
      <c r="C228" s="10" t="s">
        <v>41</v>
      </c>
      <c r="D228" s="10" t="s">
        <v>35</v>
      </c>
      <c r="E228" s="13" t="s">
        <v>229</v>
      </c>
      <c r="F228" s="10" t="s">
        <v>32</v>
      </c>
      <c r="G228" s="14">
        <v>35000</v>
      </c>
      <c r="H228" s="14">
        <v>35000</v>
      </c>
      <c r="I228" s="31">
        <f t="shared" si="5"/>
        <v>100</v>
      </c>
    </row>
    <row r="229" spans="1:9" ht="68" customHeight="1" x14ac:dyDescent="0.4">
      <c r="A229" s="34" t="s">
        <v>504</v>
      </c>
      <c r="B229" s="10" t="s">
        <v>62</v>
      </c>
      <c r="C229" s="10" t="s">
        <v>41</v>
      </c>
      <c r="D229" s="10" t="s">
        <v>35</v>
      </c>
      <c r="E229" s="13" t="s">
        <v>506</v>
      </c>
      <c r="F229" s="10" t="s">
        <v>23</v>
      </c>
      <c r="G229" s="14">
        <v>174580</v>
      </c>
      <c r="H229" s="14">
        <v>174580</v>
      </c>
      <c r="I229" s="31">
        <f t="shared" si="5"/>
        <v>100</v>
      </c>
    </row>
    <row r="230" spans="1:9" ht="56.5" customHeight="1" x14ac:dyDescent="0.4">
      <c r="A230" s="34" t="s">
        <v>505</v>
      </c>
      <c r="B230" s="10" t="s">
        <v>62</v>
      </c>
      <c r="C230" s="10" t="s">
        <v>41</v>
      </c>
      <c r="D230" s="10" t="s">
        <v>35</v>
      </c>
      <c r="E230" s="13" t="s">
        <v>507</v>
      </c>
      <c r="F230" s="10" t="s">
        <v>23</v>
      </c>
      <c r="G230" s="14">
        <v>266800</v>
      </c>
      <c r="H230" s="14">
        <v>266800</v>
      </c>
      <c r="I230" s="31">
        <f t="shared" si="5"/>
        <v>100</v>
      </c>
    </row>
    <row r="231" spans="1:9" ht="58" customHeight="1" x14ac:dyDescent="0.4">
      <c r="A231" s="34" t="s">
        <v>508</v>
      </c>
      <c r="B231" s="10" t="s">
        <v>62</v>
      </c>
      <c r="C231" s="10" t="s">
        <v>41</v>
      </c>
      <c r="D231" s="10" t="s">
        <v>35</v>
      </c>
      <c r="E231" s="13" t="s">
        <v>509</v>
      </c>
      <c r="F231" s="10" t="s">
        <v>23</v>
      </c>
      <c r="G231" s="14">
        <v>18560</v>
      </c>
      <c r="H231" s="14">
        <v>18560</v>
      </c>
      <c r="I231" s="31">
        <f t="shared" si="5"/>
        <v>100</v>
      </c>
    </row>
    <row r="232" spans="1:9" ht="89.5" customHeight="1" x14ac:dyDescent="0.4">
      <c r="A232" s="32" t="s">
        <v>170</v>
      </c>
      <c r="B232" s="10" t="s">
        <v>62</v>
      </c>
      <c r="C232" s="10" t="s">
        <v>54</v>
      </c>
      <c r="D232" s="10" t="s">
        <v>21</v>
      </c>
      <c r="E232" s="15" t="s">
        <v>171</v>
      </c>
      <c r="F232" s="13">
        <v>300</v>
      </c>
      <c r="G232" s="14">
        <v>1194575.73</v>
      </c>
      <c r="H232" s="14">
        <v>777404.08</v>
      </c>
      <c r="I232" s="31">
        <f t="shared" si="5"/>
        <v>65.077839811796608</v>
      </c>
    </row>
    <row r="233" spans="1:9" ht="63" customHeight="1" x14ac:dyDescent="0.4">
      <c r="A233" s="34" t="s">
        <v>181</v>
      </c>
      <c r="B233" s="10" t="s">
        <v>62</v>
      </c>
      <c r="C233" s="10" t="s">
        <v>27</v>
      </c>
      <c r="D233" s="10" t="s">
        <v>18</v>
      </c>
      <c r="E233" s="13" t="s">
        <v>175</v>
      </c>
      <c r="F233" s="10" t="s">
        <v>32</v>
      </c>
      <c r="G233" s="14">
        <v>190700</v>
      </c>
      <c r="H233" s="14">
        <v>190502.21</v>
      </c>
      <c r="I233" s="31">
        <f t="shared" si="5"/>
        <v>99.896282118510754</v>
      </c>
    </row>
    <row r="234" spans="1:9" s="8" customFormat="1" ht="60.5" customHeight="1" x14ac:dyDescent="0.35">
      <c r="A234" s="48" t="s">
        <v>208</v>
      </c>
      <c r="B234" s="50" t="s">
        <v>83</v>
      </c>
      <c r="C234" s="50" t="s">
        <v>14</v>
      </c>
      <c r="D234" s="50" t="s">
        <v>14</v>
      </c>
      <c r="E234" s="46" t="s">
        <v>15</v>
      </c>
      <c r="F234" s="50" t="s">
        <v>16</v>
      </c>
      <c r="G234" s="47">
        <f>SUM(G235:G255)</f>
        <v>14873545.139999997</v>
      </c>
      <c r="H234" s="47">
        <f>SUM(H235:H255)</f>
        <v>14287911.949999999</v>
      </c>
      <c r="I234" s="47">
        <f>H234/G234*100</f>
        <v>96.062585049578857</v>
      </c>
    </row>
    <row r="235" spans="1:9" ht="89.5" customHeight="1" x14ac:dyDescent="0.4">
      <c r="A235" s="33" t="s">
        <v>225</v>
      </c>
      <c r="B235" s="12" t="s">
        <v>83</v>
      </c>
      <c r="C235" s="12" t="s">
        <v>17</v>
      </c>
      <c r="D235" s="12" t="s">
        <v>28</v>
      </c>
      <c r="E235" s="13" t="s">
        <v>154</v>
      </c>
      <c r="F235" s="12" t="s">
        <v>23</v>
      </c>
      <c r="G235" s="14">
        <f>154000-50000-11999.88-3000-4500</f>
        <v>84500.12</v>
      </c>
      <c r="H235" s="14">
        <f>154000-50000-11999.88-3000-4500</f>
        <v>84500.12</v>
      </c>
      <c r="I235" s="31">
        <f>H235/G235*100</f>
        <v>100</v>
      </c>
    </row>
    <row r="236" spans="1:9" ht="57" customHeight="1" x14ac:dyDescent="0.4">
      <c r="A236" s="32" t="s">
        <v>358</v>
      </c>
      <c r="B236" s="12" t="s">
        <v>83</v>
      </c>
      <c r="C236" s="12" t="s">
        <v>17</v>
      </c>
      <c r="D236" s="12" t="s">
        <v>28</v>
      </c>
      <c r="E236" s="13" t="s">
        <v>369</v>
      </c>
      <c r="F236" s="12" t="s">
        <v>23</v>
      </c>
      <c r="G236" s="14">
        <f>100000+4500</f>
        <v>104500</v>
      </c>
      <c r="H236" s="14">
        <f>100000+4500</f>
        <v>104500</v>
      </c>
      <c r="I236" s="31">
        <f t="shared" ref="I236:I255" si="6">H236/G236*100</f>
        <v>100</v>
      </c>
    </row>
    <row r="237" spans="1:9" ht="73.5" customHeight="1" x14ac:dyDescent="0.4">
      <c r="A237" s="32" t="s">
        <v>492</v>
      </c>
      <c r="B237" s="12" t="s">
        <v>83</v>
      </c>
      <c r="C237" s="12" t="s">
        <v>17</v>
      </c>
      <c r="D237" s="12" t="s">
        <v>28</v>
      </c>
      <c r="E237" s="13" t="s">
        <v>491</v>
      </c>
      <c r="F237" s="12" t="s">
        <v>23</v>
      </c>
      <c r="G237" s="14">
        <v>3000</v>
      </c>
      <c r="H237" s="14">
        <v>3000</v>
      </c>
      <c r="I237" s="31">
        <f t="shared" si="6"/>
        <v>100</v>
      </c>
    </row>
    <row r="238" spans="1:9" ht="73.5" customHeight="1" x14ac:dyDescent="0.4">
      <c r="A238" s="35" t="s">
        <v>226</v>
      </c>
      <c r="B238" s="12" t="s">
        <v>83</v>
      </c>
      <c r="C238" s="12" t="s">
        <v>17</v>
      </c>
      <c r="D238" s="12" t="s">
        <v>28</v>
      </c>
      <c r="E238" s="13" t="s">
        <v>240</v>
      </c>
      <c r="F238" s="12" t="s">
        <v>23</v>
      </c>
      <c r="G238" s="14">
        <f>200000+190000</f>
        <v>390000</v>
      </c>
      <c r="H238" s="14">
        <v>389800</v>
      </c>
      <c r="I238" s="31">
        <f t="shared" si="6"/>
        <v>99.948717948717942</v>
      </c>
    </row>
    <row r="239" spans="1:9" ht="53.5" customHeight="1" x14ac:dyDescent="0.4">
      <c r="A239" s="35" t="s">
        <v>494</v>
      </c>
      <c r="B239" s="12" t="s">
        <v>83</v>
      </c>
      <c r="C239" s="12" t="s">
        <v>17</v>
      </c>
      <c r="D239" s="12" t="s">
        <v>28</v>
      </c>
      <c r="E239" s="13" t="s">
        <v>493</v>
      </c>
      <c r="F239" s="12" t="s">
        <v>23</v>
      </c>
      <c r="G239" s="14">
        <f>1199987.62-730987.62</f>
        <v>469000.00000000012</v>
      </c>
      <c r="H239" s="14">
        <f>1199987.62-730987.62</f>
        <v>469000.00000000012</v>
      </c>
      <c r="I239" s="31">
        <f t="shared" si="6"/>
        <v>100</v>
      </c>
    </row>
    <row r="240" spans="1:9" ht="87.5" customHeight="1" x14ac:dyDescent="0.4">
      <c r="A240" s="35" t="s">
        <v>482</v>
      </c>
      <c r="B240" s="12" t="s">
        <v>83</v>
      </c>
      <c r="C240" s="12" t="s">
        <v>17</v>
      </c>
      <c r="D240" s="12" t="s">
        <v>28</v>
      </c>
      <c r="E240" s="13" t="s">
        <v>481</v>
      </c>
      <c r="F240" s="12" t="s">
        <v>23</v>
      </c>
      <c r="G240" s="14">
        <v>60000</v>
      </c>
      <c r="H240" s="14">
        <v>60000</v>
      </c>
      <c r="I240" s="31">
        <f t="shared" si="6"/>
        <v>100</v>
      </c>
    </row>
    <row r="241" spans="1:9" ht="72" customHeight="1" x14ac:dyDescent="0.4">
      <c r="A241" s="35" t="s">
        <v>496</v>
      </c>
      <c r="B241" s="12" t="s">
        <v>83</v>
      </c>
      <c r="C241" s="12" t="s">
        <v>17</v>
      </c>
      <c r="D241" s="12" t="s">
        <v>28</v>
      </c>
      <c r="E241" s="13" t="s">
        <v>495</v>
      </c>
      <c r="F241" s="12" t="s">
        <v>23</v>
      </c>
      <c r="G241" s="14">
        <v>600000</v>
      </c>
      <c r="H241" s="14">
        <v>277000</v>
      </c>
      <c r="I241" s="31">
        <f t="shared" si="6"/>
        <v>46.166666666666664</v>
      </c>
    </row>
    <row r="242" spans="1:9" ht="90" customHeight="1" x14ac:dyDescent="0.4">
      <c r="A242" s="32" t="s">
        <v>112</v>
      </c>
      <c r="B242" s="12" t="s">
        <v>83</v>
      </c>
      <c r="C242" s="12" t="s">
        <v>17</v>
      </c>
      <c r="D242" s="12" t="s">
        <v>28</v>
      </c>
      <c r="E242" s="13" t="s">
        <v>22</v>
      </c>
      <c r="F242" s="12" t="s">
        <v>20</v>
      </c>
      <c r="G242" s="14">
        <f>6906693.89+90144.1+152066.77+407579.87</f>
        <v>7556484.629999999</v>
      </c>
      <c r="H242" s="14">
        <v>7532721.8399999999</v>
      </c>
      <c r="I242" s="31">
        <f t="shared" si="6"/>
        <v>99.685531154186975</v>
      </c>
    </row>
    <row r="243" spans="1:9" ht="74" customHeight="1" x14ac:dyDescent="0.4">
      <c r="A243" s="32" t="s">
        <v>542</v>
      </c>
      <c r="B243" s="12" t="s">
        <v>83</v>
      </c>
      <c r="C243" s="12" t="s">
        <v>17</v>
      </c>
      <c r="D243" s="12" t="s">
        <v>28</v>
      </c>
      <c r="E243" s="13" t="s">
        <v>22</v>
      </c>
      <c r="F243" s="12" t="s">
        <v>23</v>
      </c>
      <c r="G243" s="14">
        <f>568626.69+3575.56+100000+8000</f>
        <v>680202.25</v>
      </c>
      <c r="H243" s="14">
        <v>654381.79</v>
      </c>
      <c r="I243" s="31">
        <f t="shared" si="6"/>
        <v>96.204002559532853</v>
      </c>
    </row>
    <row r="244" spans="1:9" ht="58" customHeight="1" x14ac:dyDescent="0.4">
      <c r="A244" s="32" t="s">
        <v>192</v>
      </c>
      <c r="B244" s="12" t="s">
        <v>83</v>
      </c>
      <c r="C244" s="12" t="s">
        <v>17</v>
      </c>
      <c r="D244" s="12" t="s">
        <v>28</v>
      </c>
      <c r="E244" s="13" t="s">
        <v>187</v>
      </c>
      <c r="F244" s="12" t="s">
        <v>23</v>
      </c>
      <c r="G244" s="14">
        <v>21000</v>
      </c>
      <c r="H244" s="14">
        <v>16250</v>
      </c>
      <c r="I244" s="31">
        <f t="shared" si="6"/>
        <v>77.38095238095238</v>
      </c>
    </row>
    <row r="245" spans="1:9" ht="42.5" customHeight="1" x14ac:dyDescent="0.4">
      <c r="A245" s="32" t="s">
        <v>234</v>
      </c>
      <c r="B245" s="12" t="s">
        <v>83</v>
      </c>
      <c r="C245" s="12" t="s">
        <v>17</v>
      </c>
      <c r="D245" s="12" t="s">
        <v>28</v>
      </c>
      <c r="E245" s="13" t="s">
        <v>233</v>
      </c>
      <c r="F245" s="12" t="s">
        <v>23</v>
      </c>
      <c r="G245" s="14">
        <f>771748.52+73565.45+4117.19-225313.97-35000</f>
        <v>589117.18999999994</v>
      </c>
      <c r="H245" s="14">
        <v>402470.87</v>
      </c>
      <c r="I245" s="31">
        <f t="shared" si="6"/>
        <v>68.31762454597532</v>
      </c>
    </row>
    <row r="246" spans="1:9" ht="31.5" customHeight="1" x14ac:dyDescent="0.4">
      <c r="A246" s="32" t="s">
        <v>326</v>
      </c>
      <c r="B246" s="12" t="s">
        <v>83</v>
      </c>
      <c r="C246" s="12" t="s">
        <v>17</v>
      </c>
      <c r="D246" s="12" t="s">
        <v>28</v>
      </c>
      <c r="E246" s="13" t="s">
        <v>233</v>
      </c>
      <c r="F246" s="12" t="s">
        <v>25</v>
      </c>
      <c r="G246" s="14">
        <f>30000+39000+35000</f>
        <v>104000</v>
      </c>
      <c r="H246" s="14">
        <f>30000+39000+35000</f>
        <v>104000</v>
      </c>
      <c r="I246" s="31">
        <f t="shared" si="6"/>
        <v>100</v>
      </c>
    </row>
    <row r="247" spans="1:9" ht="76" customHeight="1" x14ac:dyDescent="0.4">
      <c r="A247" s="34" t="s">
        <v>391</v>
      </c>
      <c r="B247" s="12" t="s">
        <v>83</v>
      </c>
      <c r="C247" s="12" t="s">
        <v>17</v>
      </c>
      <c r="D247" s="12" t="s">
        <v>28</v>
      </c>
      <c r="E247" s="13" t="s">
        <v>389</v>
      </c>
      <c r="F247" s="12" t="s">
        <v>23</v>
      </c>
      <c r="G247" s="14">
        <v>100000</v>
      </c>
      <c r="H247" s="14">
        <v>100000</v>
      </c>
      <c r="I247" s="31">
        <f t="shared" si="6"/>
        <v>100</v>
      </c>
    </row>
    <row r="248" spans="1:9" ht="46" customHeight="1" x14ac:dyDescent="0.4">
      <c r="A248" s="33" t="s">
        <v>392</v>
      </c>
      <c r="B248" s="12" t="s">
        <v>83</v>
      </c>
      <c r="C248" s="12" t="s">
        <v>17</v>
      </c>
      <c r="D248" s="12" t="s">
        <v>28</v>
      </c>
      <c r="E248" s="13" t="s">
        <v>390</v>
      </c>
      <c r="F248" s="12" t="s">
        <v>25</v>
      </c>
      <c r="G248" s="14">
        <f>30000+30000</f>
        <v>60000</v>
      </c>
      <c r="H248" s="14">
        <f>30000+30000</f>
        <v>60000</v>
      </c>
      <c r="I248" s="31">
        <f t="shared" si="6"/>
        <v>100</v>
      </c>
    </row>
    <row r="249" spans="1:9" ht="72.5" customHeight="1" x14ac:dyDescent="0.4">
      <c r="A249" s="35" t="s">
        <v>224</v>
      </c>
      <c r="B249" s="12" t="s">
        <v>83</v>
      </c>
      <c r="C249" s="12" t="s">
        <v>21</v>
      </c>
      <c r="D249" s="12" t="s">
        <v>36</v>
      </c>
      <c r="E249" s="13" t="s">
        <v>223</v>
      </c>
      <c r="F249" s="12" t="s">
        <v>23</v>
      </c>
      <c r="G249" s="14">
        <f>210000+50000</f>
        <v>260000</v>
      </c>
      <c r="H249" s="14">
        <f>210000+50000</f>
        <v>260000</v>
      </c>
      <c r="I249" s="31">
        <f t="shared" si="6"/>
        <v>100</v>
      </c>
    </row>
    <row r="250" spans="1:9" ht="72" customHeight="1" x14ac:dyDescent="0.4">
      <c r="A250" s="38" t="s">
        <v>100</v>
      </c>
      <c r="B250" s="12" t="s">
        <v>83</v>
      </c>
      <c r="C250" s="12" t="s">
        <v>41</v>
      </c>
      <c r="D250" s="12" t="s">
        <v>26</v>
      </c>
      <c r="E250" s="13" t="s">
        <v>89</v>
      </c>
      <c r="F250" s="12" t="s">
        <v>23</v>
      </c>
      <c r="G250" s="14">
        <v>8000</v>
      </c>
      <c r="H250" s="14">
        <v>0</v>
      </c>
      <c r="I250" s="31">
        <f t="shared" si="6"/>
        <v>0</v>
      </c>
    </row>
    <row r="251" spans="1:9" ht="89" customHeight="1" x14ac:dyDescent="0.4">
      <c r="A251" s="35" t="s">
        <v>510</v>
      </c>
      <c r="B251" s="12" t="s">
        <v>83</v>
      </c>
      <c r="C251" s="12" t="s">
        <v>54</v>
      </c>
      <c r="D251" s="12" t="s">
        <v>21</v>
      </c>
      <c r="E251" s="13" t="s">
        <v>512</v>
      </c>
      <c r="F251" s="12" t="s">
        <v>200</v>
      </c>
      <c r="G251" s="14">
        <v>79460.7</v>
      </c>
      <c r="H251" s="14">
        <v>79460.7</v>
      </c>
      <c r="I251" s="31">
        <f t="shared" si="6"/>
        <v>100</v>
      </c>
    </row>
    <row r="252" spans="1:9" ht="82.5" customHeight="1" x14ac:dyDescent="0.4">
      <c r="A252" s="35" t="s">
        <v>511</v>
      </c>
      <c r="B252" s="12" t="s">
        <v>83</v>
      </c>
      <c r="C252" s="12" t="s">
        <v>54</v>
      </c>
      <c r="D252" s="12" t="s">
        <v>21</v>
      </c>
      <c r="E252" s="13" t="s">
        <v>512</v>
      </c>
      <c r="F252" s="12" t="s">
        <v>25</v>
      </c>
      <c r="G252" s="14">
        <f>11146+1915.76</f>
        <v>13061.76</v>
      </c>
      <c r="H252" s="14">
        <f>11146+1915.76</f>
        <v>13061.76</v>
      </c>
      <c r="I252" s="31">
        <f t="shared" si="6"/>
        <v>100</v>
      </c>
    </row>
    <row r="253" spans="1:9" ht="87" customHeight="1" x14ac:dyDescent="0.4">
      <c r="A253" s="35" t="s">
        <v>513</v>
      </c>
      <c r="B253" s="12" t="s">
        <v>83</v>
      </c>
      <c r="C253" s="12" t="s">
        <v>54</v>
      </c>
      <c r="D253" s="12" t="s">
        <v>21</v>
      </c>
      <c r="E253" s="13" t="s">
        <v>515</v>
      </c>
      <c r="F253" s="12" t="s">
        <v>200</v>
      </c>
      <c r="G253" s="14">
        <v>77052.800000000003</v>
      </c>
      <c r="H253" s="14">
        <v>77052.800000000003</v>
      </c>
      <c r="I253" s="31">
        <f t="shared" si="6"/>
        <v>100</v>
      </c>
    </row>
    <row r="254" spans="1:9" ht="87" customHeight="1" x14ac:dyDescent="0.4">
      <c r="A254" s="35" t="s">
        <v>514</v>
      </c>
      <c r="B254" s="12" t="s">
        <v>83</v>
      </c>
      <c r="C254" s="12" t="s">
        <v>54</v>
      </c>
      <c r="D254" s="12" t="s">
        <v>21</v>
      </c>
      <c r="E254" s="13" t="s">
        <v>515</v>
      </c>
      <c r="F254" s="12" t="s">
        <v>25</v>
      </c>
      <c r="G254" s="14">
        <f>11146+2307.62</f>
        <v>13453.619999999999</v>
      </c>
      <c r="H254" s="14">
        <v>0</v>
      </c>
      <c r="I254" s="31">
        <f t="shared" si="6"/>
        <v>0</v>
      </c>
    </row>
    <row r="255" spans="1:9" ht="73" customHeight="1" x14ac:dyDescent="0.4">
      <c r="A255" s="38" t="s">
        <v>209</v>
      </c>
      <c r="B255" s="12" t="s">
        <v>83</v>
      </c>
      <c r="C255" s="12" t="s">
        <v>54</v>
      </c>
      <c r="D255" s="12" t="s">
        <v>21</v>
      </c>
      <c r="E255" s="13" t="s">
        <v>199</v>
      </c>
      <c r="F255" s="12" t="s">
        <v>200</v>
      </c>
      <c r="G255" s="14">
        <f>6609556.8-944222.4-2064622.33</f>
        <v>3600712.0699999994</v>
      </c>
      <c r="H255" s="14">
        <f>6609556.8-944222.4-2064622.33</f>
        <v>3600712.0699999994</v>
      </c>
      <c r="I255" s="31">
        <f t="shared" si="6"/>
        <v>100</v>
      </c>
    </row>
    <row r="256" spans="1:9" s="8" customFormat="1" ht="47.25" customHeight="1" x14ac:dyDescent="0.35">
      <c r="A256" s="48" t="s">
        <v>417</v>
      </c>
      <c r="B256" s="50" t="s">
        <v>84</v>
      </c>
      <c r="C256" s="50" t="s">
        <v>14</v>
      </c>
      <c r="D256" s="50" t="s">
        <v>14</v>
      </c>
      <c r="E256" s="46" t="s">
        <v>15</v>
      </c>
      <c r="F256" s="50" t="s">
        <v>16</v>
      </c>
      <c r="G256" s="47">
        <f>SUM(G257:G268)</f>
        <v>3633327.34</v>
      </c>
      <c r="H256" s="47">
        <f>SUM(H257:H268)</f>
        <v>3619733.84</v>
      </c>
      <c r="I256" s="47">
        <f>H256/G256*100</f>
        <v>99.625866355328171</v>
      </c>
    </row>
    <row r="257" spans="1:10" s="8" customFormat="1" ht="49.5" x14ac:dyDescent="0.35">
      <c r="A257" s="34" t="s">
        <v>192</v>
      </c>
      <c r="B257" s="12" t="s">
        <v>84</v>
      </c>
      <c r="C257" s="12" t="s">
        <v>17</v>
      </c>
      <c r="D257" s="12" t="s">
        <v>33</v>
      </c>
      <c r="E257" s="10" t="s">
        <v>187</v>
      </c>
      <c r="F257" s="12" t="s">
        <v>23</v>
      </c>
      <c r="G257" s="14">
        <v>9000</v>
      </c>
      <c r="H257" s="14">
        <v>8400</v>
      </c>
      <c r="I257" s="31">
        <f>H257/G257*100</f>
        <v>93.333333333333329</v>
      </c>
    </row>
    <row r="258" spans="1:10" ht="86.5" customHeight="1" x14ac:dyDescent="0.4">
      <c r="A258" s="40" t="s">
        <v>85</v>
      </c>
      <c r="B258" s="12" t="s">
        <v>84</v>
      </c>
      <c r="C258" s="12" t="s">
        <v>17</v>
      </c>
      <c r="D258" s="12" t="s">
        <v>33</v>
      </c>
      <c r="E258" s="13" t="s">
        <v>86</v>
      </c>
      <c r="F258" s="12" t="s">
        <v>20</v>
      </c>
      <c r="G258" s="14">
        <f>1467282.47+18658.31+19286.26+118952.68</f>
        <v>1624179.72</v>
      </c>
      <c r="H258" s="14">
        <v>1620555.29</v>
      </c>
      <c r="I258" s="31">
        <f t="shared" ref="I258:I268" si="7">H258/G258*100</f>
        <v>99.776845508205213</v>
      </c>
    </row>
    <row r="259" spans="1:10" ht="57.5" customHeight="1" x14ac:dyDescent="0.4">
      <c r="A259" s="40" t="s">
        <v>109</v>
      </c>
      <c r="B259" s="12" t="s">
        <v>84</v>
      </c>
      <c r="C259" s="12" t="s">
        <v>17</v>
      </c>
      <c r="D259" s="12" t="s">
        <v>33</v>
      </c>
      <c r="E259" s="13" t="s">
        <v>86</v>
      </c>
      <c r="F259" s="12" t="s">
        <v>23</v>
      </c>
      <c r="G259" s="14">
        <f>215352.15+49900+622.5+56000+3000+7855+76900</f>
        <v>409629.65</v>
      </c>
      <c r="H259" s="14">
        <v>405503.78</v>
      </c>
      <c r="I259" s="31">
        <f t="shared" si="7"/>
        <v>98.99278042983461</v>
      </c>
    </row>
    <row r="260" spans="1:10" ht="85.5" customHeight="1" x14ac:dyDescent="0.4">
      <c r="A260" s="40" t="s">
        <v>87</v>
      </c>
      <c r="B260" s="12" t="s">
        <v>84</v>
      </c>
      <c r="C260" s="12" t="s">
        <v>17</v>
      </c>
      <c r="D260" s="12" t="s">
        <v>33</v>
      </c>
      <c r="E260" s="13" t="s">
        <v>88</v>
      </c>
      <c r="F260" s="12" t="s">
        <v>20</v>
      </c>
      <c r="G260" s="14">
        <f>969987.91+12627.79+110544.27</f>
        <v>1093159.97</v>
      </c>
      <c r="H260" s="14">
        <v>1091788.96</v>
      </c>
      <c r="I260" s="31">
        <f t="shared" si="7"/>
        <v>99.874582857255561</v>
      </c>
    </row>
    <row r="261" spans="1:10" ht="102.5" customHeight="1" x14ac:dyDescent="0.4">
      <c r="A261" s="33" t="s">
        <v>334</v>
      </c>
      <c r="B261" s="12" t="s">
        <v>84</v>
      </c>
      <c r="C261" s="12" t="s">
        <v>17</v>
      </c>
      <c r="D261" s="12" t="s">
        <v>33</v>
      </c>
      <c r="E261" s="13" t="s">
        <v>330</v>
      </c>
      <c r="F261" s="12" t="s">
        <v>20</v>
      </c>
      <c r="G261" s="14">
        <f>237572.4+14137.01+32891+5167.59</f>
        <v>289768.00000000006</v>
      </c>
      <c r="H261" s="14">
        <v>287897.65000000002</v>
      </c>
      <c r="I261" s="31">
        <f t="shared" si="7"/>
        <v>99.354535352419859</v>
      </c>
    </row>
    <row r="262" spans="1:10" ht="86" customHeight="1" x14ac:dyDescent="0.4">
      <c r="A262" s="35" t="s">
        <v>393</v>
      </c>
      <c r="B262" s="12" t="s">
        <v>84</v>
      </c>
      <c r="C262" s="12" t="s">
        <v>17</v>
      </c>
      <c r="D262" s="12" t="s">
        <v>33</v>
      </c>
      <c r="E262" s="13" t="s">
        <v>395</v>
      </c>
      <c r="F262" s="12" t="s">
        <v>23</v>
      </c>
      <c r="G262" s="14">
        <v>3600</v>
      </c>
      <c r="H262" s="14">
        <v>3600</v>
      </c>
      <c r="I262" s="31">
        <f t="shared" si="7"/>
        <v>100</v>
      </c>
    </row>
    <row r="263" spans="1:10" ht="105.5" customHeight="1" x14ac:dyDescent="0.4">
      <c r="A263" s="35" t="s">
        <v>394</v>
      </c>
      <c r="B263" s="12" t="s">
        <v>84</v>
      </c>
      <c r="C263" s="12" t="s">
        <v>17</v>
      </c>
      <c r="D263" s="12" t="s">
        <v>33</v>
      </c>
      <c r="E263" s="13" t="s">
        <v>396</v>
      </c>
      <c r="F263" s="12" t="s">
        <v>20</v>
      </c>
      <c r="G263" s="14">
        <f>44246.65+1996+627.35</f>
        <v>46870</v>
      </c>
      <c r="H263" s="14">
        <v>46869.54</v>
      </c>
      <c r="I263" s="31">
        <f t="shared" si="7"/>
        <v>99.999018561979952</v>
      </c>
    </row>
    <row r="264" spans="1:10" ht="105.5" customHeight="1" x14ac:dyDescent="0.4">
      <c r="A264" s="35" t="s">
        <v>335</v>
      </c>
      <c r="B264" s="12" t="s">
        <v>84</v>
      </c>
      <c r="C264" s="12" t="s">
        <v>17</v>
      </c>
      <c r="D264" s="12" t="s">
        <v>33</v>
      </c>
      <c r="E264" s="13" t="s">
        <v>331</v>
      </c>
      <c r="F264" s="12" t="s">
        <v>20</v>
      </c>
      <c r="G264" s="14">
        <f t="shared" ref="G264:G266" si="8">43087+1159.65+1996+627.35</f>
        <v>46870</v>
      </c>
      <c r="H264" s="14">
        <v>46869.53</v>
      </c>
      <c r="I264" s="31">
        <f t="shared" si="7"/>
        <v>99.998997226370818</v>
      </c>
    </row>
    <row r="265" spans="1:10" ht="103.5" customHeight="1" x14ac:dyDescent="0.4">
      <c r="A265" s="35" t="s">
        <v>336</v>
      </c>
      <c r="B265" s="12" t="s">
        <v>84</v>
      </c>
      <c r="C265" s="12" t="s">
        <v>17</v>
      </c>
      <c r="D265" s="12" t="s">
        <v>33</v>
      </c>
      <c r="E265" s="13" t="s">
        <v>332</v>
      </c>
      <c r="F265" s="12" t="s">
        <v>20</v>
      </c>
      <c r="G265" s="14">
        <f t="shared" si="8"/>
        <v>46870</v>
      </c>
      <c r="H265" s="14">
        <v>46869.54</v>
      </c>
      <c r="I265" s="31">
        <f t="shared" si="7"/>
        <v>99.999018561979952</v>
      </c>
    </row>
    <row r="266" spans="1:10" ht="103.5" customHeight="1" x14ac:dyDescent="0.4">
      <c r="A266" s="35" t="s">
        <v>337</v>
      </c>
      <c r="B266" s="12" t="s">
        <v>84</v>
      </c>
      <c r="C266" s="12" t="s">
        <v>17</v>
      </c>
      <c r="D266" s="12" t="s">
        <v>33</v>
      </c>
      <c r="E266" s="13" t="s">
        <v>333</v>
      </c>
      <c r="F266" s="12" t="s">
        <v>20</v>
      </c>
      <c r="G266" s="14">
        <f t="shared" si="8"/>
        <v>46870</v>
      </c>
      <c r="H266" s="14">
        <v>46869.55</v>
      </c>
      <c r="I266" s="31">
        <f t="shared" si="7"/>
        <v>99.999039897589086</v>
      </c>
    </row>
    <row r="267" spans="1:10" ht="84.5" customHeight="1" x14ac:dyDescent="0.4">
      <c r="A267" s="35" t="s">
        <v>450</v>
      </c>
      <c r="B267" s="12" t="s">
        <v>84</v>
      </c>
      <c r="C267" s="12" t="s">
        <v>17</v>
      </c>
      <c r="D267" s="12" t="s">
        <v>33</v>
      </c>
      <c r="E267" s="13" t="s">
        <v>451</v>
      </c>
      <c r="F267" s="12" t="s">
        <v>20</v>
      </c>
      <c r="G267" s="14">
        <f>5000+1510</f>
        <v>6510</v>
      </c>
      <c r="H267" s="14">
        <f>5000+1510</f>
        <v>6510</v>
      </c>
      <c r="I267" s="31">
        <f t="shared" si="7"/>
        <v>100</v>
      </c>
    </row>
    <row r="268" spans="1:10" ht="72" customHeight="1" x14ac:dyDescent="0.4">
      <c r="A268" s="35" t="s">
        <v>100</v>
      </c>
      <c r="B268" s="12" t="s">
        <v>84</v>
      </c>
      <c r="C268" s="12" t="s">
        <v>41</v>
      </c>
      <c r="D268" s="12" t="s">
        <v>26</v>
      </c>
      <c r="E268" s="13" t="s">
        <v>89</v>
      </c>
      <c r="F268" s="12" t="s">
        <v>23</v>
      </c>
      <c r="G268" s="14">
        <v>10000</v>
      </c>
      <c r="H268" s="14">
        <v>8000</v>
      </c>
      <c r="I268" s="31">
        <f t="shared" si="7"/>
        <v>80</v>
      </c>
    </row>
    <row r="269" spans="1:10" ht="46" customHeight="1" x14ac:dyDescent="0.4">
      <c r="A269" s="51" t="s">
        <v>544</v>
      </c>
      <c r="B269" s="50" t="s">
        <v>99</v>
      </c>
      <c r="C269" s="50" t="s">
        <v>14</v>
      </c>
      <c r="D269" s="50" t="s">
        <v>14</v>
      </c>
      <c r="E269" s="46" t="s">
        <v>15</v>
      </c>
      <c r="F269" s="50" t="s">
        <v>16</v>
      </c>
      <c r="G269" s="49">
        <f>SUM(G270:G309)</f>
        <v>69232381.999999985</v>
      </c>
      <c r="H269" s="49">
        <f>SUM(H270:H309)</f>
        <v>60281198.829999998</v>
      </c>
      <c r="I269" s="49">
        <f>H269/G269*100</f>
        <v>87.07081439145054</v>
      </c>
      <c r="J269" s="52"/>
    </row>
    <row r="270" spans="1:10" ht="89.5" customHeight="1" x14ac:dyDescent="0.4">
      <c r="A270" s="32" t="s">
        <v>112</v>
      </c>
      <c r="B270" s="12" t="s">
        <v>99</v>
      </c>
      <c r="C270" s="12" t="s">
        <v>17</v>
      </c>
      <c r="D270" s="12" t="s">
        <v>28</v>
      </c>
      <c r="E270" s="10" t="s">
        <v>22</v>
      </c>
      <c r="F270" s="12" t="s">
        <v>20</v>
      </c>
      <c r="G270" s="14">
        <f>4773043.21+58110.47+47986.24+423539.19+975</f>
        <v>5303654.1100000003</v>
      </c>
      <c r="H270" s="14">
        <v>5285223.25</v>
      </c>
      <c r="I270" s="31">
        <f>H270/G270*100</f>
        <v>99.652487518647774</v>
      </c>
    </row>
    <row r="271" spans="1:10" ht="71" customHeight="1" x14ac:dyDescent="0.4">
      <c r="A271" s="32" t="s">
        <v>542</v>
      </c>
      <c r="B271" s="12" t="s">
        <v>99</v>
      </c>
      <c r="C271" s="12" t="s">
        <v>17</v>
      </c>
      <c r="D271" s="12" t="s">
        <v>28</v>
      </c>
      <c r="E271" s="10" t="s">
        <v>22</v>
      </c>
      <c r="F271" s="12" t="s">
        <v>23</v>
      </c>
      <c r="G271" s="14">
        <f>38000+8119.5+30000-975+61.92</f>
        <v>75206.42</v>
      </c>
      <c r="H271" s="14">
        <v>66879.42</v>
      </c>
      <c r="I271" s="31">
        <f t="shared" ref="I271:I310" si="9">H271/G271*100</f>
        <v>88.927806961161025</v>
      </c>
    </row>
    <row r="272" spans="1:10" ht="55" customHeight="1" x14ac:dyDescent="0.4">
      <c r="A272" s="32" t="s">
        <v>192</v>
      </c>
      <c r="B272" s="12" t="s">
        <v>99</v>
      </c>
      <c r="C272" s="12" t="s">
        <v>17</v>
      </c>
      <c r="D272" s="12" t="s">
        <v>28</v>
      </c>
      <c r="E272" s="10" t="s">
        <v>187</v>
      </c>
      <c r="F272" s="12" t="s">
        <v>23</v>
      </c>
      <c r="G272" s="14">
        <f>24500-1600-9250</f>
        <v>13650</v>
      </c>
      <c r="H272" s="14">
        <f>24500-1600-9250</f>
        <v>13650</v>
      </c>
      <c r="I272" s="31">
        <f t="shared" si="9"/>
        <v>100</v>
      </c>
    </row>
    <row r="273" spans="1:9" ht="70" customHeight="1" x14ac:dyDescent="0.4">
      <c r="A273" s="32" t="s">
        <v>455</v>
      </c>
      <c r="B273" s="12" t="s">
        <v>99</v>
      </c>
      <c r="C273" s="12" t="s">
        <v>39</v>
      </c>
      <c r="D273" s="12" t="s">
        <v>35</v>
      </c>
      <c r="E273" s="10" t="s">
        <v>454</v>
      </c>
      <c r="F273" s="12" t="s">
        <v>23</v>
      </c>
      <c r="G273" s="14">
        <f>49948+82000+247000</f>
        <v>378948</v>
      </c>
      <c r="H273" s="14">
        <v>378945.14</v>
      </c>
      <c r="I273" s="31">
        <f t="shared" si="9"/>
        <v>99.999245279035648</v>
      </c>
    </row>
    <row r="274" spans="1:9" ht="74.5" customHeight="1" x14ac:dyDescent="0.4">
      <c r="A274" s="32" t="s">
        <v>286</v>
      </c>
      <c r="B274" s="12" t="s">
        <v>99</v>
      </c>
      <c r="C274" s="12" t="s">
        <v>21</v>
      </c>
      <c r="D274" s="12" t="s">
        <v>26</v>
      </c>
      <c r="E274" s="10" t="s">
        <v>173</v>
      </c>
      <c r="F274" s="12" t="s">
        <v>23</v>
      </c>
      <c r="G274" s="14">
        <f>66392.85+65607.15</f>
        <v>132000</v>
      </c>
      <c r="H274" s="14">
        <v>126000</v>
      </c>
      <c r="I274" s="31">
        <f t="shared" si="9"/>
        <v>95.454545454545453</v>
      </c>
    </row>
    <row r="275" spans="1:9" ht="119.5" customHeight="1" x14ac:dyDescent="0.4">
      <c r="A275" s="39" t="s">
        <v>284</v>
      </c>
      <c r="B275" s="12" t="s">
        <v>99</v>
      </c>
      <c r="C275" s="12" t="s">
        <v>21</v>
      </c>
      <c r="D275" s="12" t="s">
        <v>26</v>
      </c>
      <c r="E275" s="26" t="s">
        <v>285</v>
      </c>
      <c r="F275" s="26">
        <v>200</v>
      </c>
      <c r="G275" s="14">
        <v>101433.22</v>
      </c>
      <c r="H275" s="14">
        <v>101433.22</v>
      </c>
      <c r="I275" s="31">
        <f t="shared" si="9"/>
        <v>100</v>
      </c>
    </row>
    <row r="276" spans="1:9" ht="57" customHeight="1" x14ac:dyDescent="0.4">
      <c r="A276" s="39" t="s">
        <v>468</v>
      </c>
      <c r="B276" s="12" t="s">
        <v>99</v>
      </c>
      <c r="C276" s="12" t="s">
        <v>21</v>
      </c>
      <c r="D276" s="12" t="s">
        <v>33</v>
      </c>
      <c r="E276" s="26" t="s">
        <v>467</v>
      </c>
      <c r="F276" s="26">
        <v>200</v>
      </c>
      <c r="G276" s="14">
        <v>200000</v>
      </c>
      <c r="H276" s="14">
        <v>199998.35</v>
      </c>
      <c r="I276" s="31">
        <f t="shared" si="9"/>
        <v>99.999175000000008</v>
      </c>
    </row>
    <row r="277" spans="1:9" ht="74.5" customHeight="1" x14ac:dyDescent="0.4">
      <c r="A277" s="34" t="s">
        <v>238</v>
      </c>
      <c r="B277" s="10" t="s">
        <v>99</v>
      </c>
      <c r="C277" s="10" t="s">
        <v>21</v>
      </c>
      <c r="D277" s="10" t="s">
        <v>34</v>
      </c>
      <c r="E277" s="13" t="s">
        <v>239</v>
      </c>
      <c r="F277" s="10" t="s">
        <v>23</v>
      </c>
      <c r="G277" s="14">
        <f>2651299.67+305778.63-132068.59</f>
        <v>2825009.71</v>
      </c>
      <c r="H277" s="14">
        <v>2567398.35</v>
      </c>
      <c r="I277" s="31">
        <f t="shared" si="9"/>
        <v>90.881045148690845</v>
      </c>
    </row>
    <row r="278" spans="1:9" ht="74.5" customHeight="1" x14ac:dyDescent="0.4">
      <c r="A278" s="32" t="s">
        <v>288</v>
      </c>
      <c r="B278" s="10" t="s">
        <v>99</v>
      </c>
      <c r="C278" s="10" t="s">
        <v>21</v>
      </c>
      <c r="D278" s="10" t="s">
        <v>35</v>
      </c>
      <c r="E278" s="15" t="s">
        <v>287</v>
      </c>
      <c r="F278" s="10" t="s">
        <v>189</v>
      </c>
      <c r="G278" s="14">
        <f>1025066.51+86105.59</f>
        <v>1111172.1000000001</v>
      </c>
      <c r="H278" s="14">
        <f>1025066.51+86105.59</f>
        <v>1111172.1000000001</v>
      </c>
      <c r="I278" s="31">
        <f t="shared" si="9"/>
        <v>100</v>
      </c>
    </row>
    <row r="279" spans="1:9" ht="89.5" customHeight="1" x14ac:dyDescent="0.4">
      <c r="A279" s="32" t="s">
        <v>370</v>
      </c>
      <c r="B279" s="10" t="s">
        <v>99</v>
      </c>
      <c r="C279" s="10" t="s">
        <v>21</v>
      </c>
      <c r="D279" s="10" t="s">
        <v>35</v>
      </c>
      <c r="E279" s="15" t="s">
        <v>371</v>
      </c>
      <c r="F279" s="10" t="s">
        <v>189</v>
      </c>
      <c r="G279" s="14">
        <f>3109098.55+261164.28</f>
        <v>3370262.8299999996</v>
      </c>
      <c r="H279" s="14">
        <f>3109098.55+261164.28</f>
        <v>3370262.8299999996</v>
      </c>
      <c r="I279" s="31">
        <f t="shared" si="9"/>
        <v>100</v>
      </c>
    </row>
    <row r="280" spans="1:9" ht="53.5" customHeight="1" x14ac:dyDescent="0.4">
      <c r="A280" s="33" t="s">
        <v>338</v>
      </c>
      <c r="B280" s="10" t="s">
        <v>99</v>
      </c>
      <c r="C280" s="10" t="s">
        <v>21</v>
      </c>
      <c r="D280" s="10" t="s">
        <v>35</v>
      </c>
      <c r="E280" s="13" t="s">
        <v>339</v>
      </c>
      <c r="F280" s="13">
        <v>200</v>
      </c>
      <c r="G280" s="14">
        <f>246813.34+231505.98+6906.68</f>
        <v>485226</v>
      </c>
      <c r="H280" s="14">
        <f>246813.34+231505.98+6906.68</f>
        <v>485226</v>
      </c>
      <c r="I280" s="31">
        <f t="shared" si="9"/>
        <v>100</v>
      </c>
    </row>
    <row r="281" spans="1:9" ht="83.5" customHeight="1" x14ac:dyDescent="0.4">
      <c r="A281" s="33" t="s">
        <v>348</v>
      </c>
      <c r="B281" s="10" t="s">
        <v>99</v>
      </c>
      <c r="C281" s="10" t="s">
        <v>21</v>
      </c>
      <c r="D281" s="10" t="s">
        <v>35</v>
      </c>
      <c r="E281" s="13" t="s">
        <v>347</v>
      </c>
      <c r="F281" s="13">
        <v>200</v>
      </c>
      <c r="G281" s="14">
        <f>206778.8+210045.76+215692.11+216666.67+1026666.67</f>
        <v>1875850.01</v>
      </c>
      <c r="H281" s="14">
        <v>1394938.81</v>
      </c>
      <c r="I281" s="31">
        <f t="shared" si="9"/>
        <v>74.363024898776416</v>
      </c>
    </row>
    <row r="282" spans="1:9" ht="76" customHeight="1" x14ac:dyDescent="0.4">
      <c r="A282" s="43" t="s">
        <v>398</v>
      </c>
      <c r="B282" s="10" t="s">
        <v>99</v>
      </c>
      <c r="C282" s="10" t="s">
        <v>21</v>
      </c>
      <c r="D282" s="10" t="s">
        <v>35</v>
      </c>
      <c r="E282" s="13" t="s">
        <v>397</v>
      </c>
      <c r="F282" s="13">
        <v>200</v>
      </c>
      <c r="G282" s="14">
        <v>188233</v>
      </c>
      <c r="H282" s="14">
        <v>188233</v>
      </c>
      <c r="I282" s="31">
        <f t="shared" si="9"/>
        <v>100</v>
      </c>
    </row>
    <row r="283" spans="1:9" ht="54" customHeight="1" x14ac:dyDescent="0.4">
      <c r="A283" s="33" t="s">
        <v>400</v>
      </c>
      <c r="B283" s="10" t="s">
        <v>99</v>
      </c>
      <c r="C283" s="10" t="s">
        <v>21</v>
      </c>
      <c r="D283" s="10" t="s">
        <v>35</v>
      </c>
      <c r="E283" s="13" t="s">
        <v>399</v>
      </c>
      <c r="F283" s="13">
        <v>400</v>
      </c>
      <c r="G283" s="14">
        <f>1800000+40000</f>
        <v>1840000</v>
      </c>
      <c r="H283" s="14">
        <v>0</v>
      </c>
      <c r="I283" s="31">
        <f t="shared" si="9"/>
        <v>0</v>
      </c>
    </row>
    <row r="284" spans="1:9" ht="69" customHeight="1" x14ac:dyDescent="0.4">
      <c r="A284" s="33" t="s">
        <v>457</v>
      </c>
      <c r="B284" s="10" t="s">
        <v>99</v>
      </c>
      <c r="C284" s="10" t="s">
        <v>21</v>
      </c>
      <c r="D284" s="10" t="s">
        <v>35</v>
      </c>
      <c r="E284" s="13" t="s">
        <v>456</v>
      </c>
      <c r="F284" s="13">
        <v>200</v>
      </c>
      <c r="G284" s="14">
        <f>331000-31000-56076.4</f>
        <v>243923.6</v>
      </c>
      <c r="H284" s="14">
        <f>331000-31000-56076.4</f>
        <v>243923.6</v>
      </c>
      <c r="I284" s="31">
        <f t="shared" si="9"/>
        <v>100</v>
      </c>
    </row>
    <row r="285" spans="1:9" ht="84.5" customHeight="1" x14ac:dyDescent="0.4">
      <c r="A285" s="33" t="s">
        <v>462</v>
      </c>
      <c r="B285" s="10" t="s">
        <v>99</v>
      </c>
      <c r="C285" s="10" t="s">
        <v>21</v>
      </c>
      <c r="D285" s="10" t="s">
        <v>35</v>
      </c>
      <c r="E285" s="13" t="s">
        <v>461</v>
      </c>
      <c r="F285" s="13">
        <v>200</v>
      </c>
      <c r="G285" s="14">
        <v>572810</v>
      </c>
      <c r="H285" s="14">
        <v>572810</v>
      </c>
      <c r="I285" s="31">
        <f t="shared" si="9"/>
        <v>100</v>
      </c>
    </row>
    <row r="286" spans="1:9" ht="58" customHeight="1" x14ac:dyDescent="0.4">
      <c r="A286" s="33" t="s">
        <v>442</v>
      </c>
      <c r="B286" s="10" t="s">
        <v>99</v>
      </c>
      <c r="C286" s="10" t="s">
        <v>21</v>
      </c>
      <c r="D286" s="10" t="s">
        <v>35</v>
      </c>
      <c r="E286" s="13" t="s">
        <v>441</v>
      </c>
      <c r="F286" s="13">
        <v>200</v>
      </c>
      <c r="G286" s="14">
        <f>16935442.52+171065.08</f>
        <v>17106507.599999998</v>
      </c>
      <c r="H286" s="14">
        <v>13908936</v>
      </c>
      <c r="I286" s="31">
        <f t="shared" si="9"/>
        <v>81.307864382558151</v>
      </c>
    </row>
    <row r="287" spans="1:9" ht="48" customHeight="1" x14ac:dyDescent="0.4">
      <c r="A287" s="32" t="s">
        <v>110</v>
      </c>
      <c r="B287" s="10" t="s">
        <v>99</v>
      </c>
      <c r="C287" s="10" t="s">
        <v>21</v>
      </c>
      <c r="D287" s="10" t="s">
        <v>35</v>
      </c>
      <c r="E287" s="13" t="s">
        <v>29</v>
      </c>
      <c r="F287" s="10" t="s">
        <v>23</v>
      </c>
      <c r="G287" s="14">
        <f>184021+146856.61-87906.68+35695.74-22044.21-6622.46</f>
        <v>250000</v>
      </c>
      <c r="H287" s="14">
        <f>184021+146856.61-87906.68+35695.74-22044.21-6622.46</f>
        <v>250000</v>
      </c>
      <c r="I287" s="31">
        <f t="shared" si="9"/>
        <v>100</v>
      </c>
    </row>
    <row r="288" spans="1:9" ht="56.5" customHeight="1" x14ac:dyDescent="0.4">
      <c r="A288" s="34" t="s">
        <v>160</v>
      </c>
      <c r="B288" s="10" t="s">
        <v>99</v>
      </c>
      <c r="C288" s="10" t="s">
        <v>26</v>
      </c>
      <c r="D288" s="10" t="s">
        <v>17</v>
      </c>
      <c r="E288" s="13" t="s">
        <v>155</v>
      </c>
      <c r="F288" s="10" t="s">
        <v>23</v>
      </c>
      <c r="G288" s="14">
        <f>80000-2364.25</f>
        <v>77635.75</v>
      </c>
      <c r="H288" s="14">
        <f>80000-2364.25</f>
        <v>77635.75</v>
      </c>
      <c r="I288" s="31">
        <f t="shared" si="9"/>
        <v>100</v>
      </c>
    </row>
    <row r="289" spans="1:9" ht="58.5" customHeight="1" x14ac:dyDescent="0.4">
      <c r="A289" s="34" t="s">
        <v>196</v>
      </c>
      <c r="B289" s="10" t="s">
        <v>99</v>
      </c>
      <c r="C289" s="10" t="s">
        <v>26</v>
      </c>
      <c r="D289" s="10" t="s">
        <v>17</v>
      </c>
      <c r="E289" s="13" t="s">
        <v>184</v>
      </c>
      <c r="F289" s="10" t="s">
        <v>23</v>
      </c>
      <c r="G289" s="14">
        <f>402341.38-32580-50000-98898.36</f>
        <v>220863.02000000002</v>
      </c>
      <c r="H289" s="14">
        <v>148458</v>
      </c>
      <c r="I289" s="31">
        <f t="shared" si="9"/>
        <v>67.217228126283885</v>
      </c>
    </row>
    <row r="290" spans="1:9" ht="56.5" customHeight="1" x14ac:dyDescent="0.4">
      <c r="A290" s="36" t="s">
        <v>248</v>
      </c>
      <c r="B290" s="10" t="s">
        <v>99</v>
      </c>
      <c r="C290" s="10" t="s">
        <v>26</v>
      </c>
      <c r="D290" s="10" t="s">
        <v>17</v>
      </c>
      <c r="E290" s="13" t="s">
        <v>246</v>
      </c>
      <c r="F290" s="10" t="s">
        <v>23</v>
      </c>
      <c r="G290" s="14">
        <f>30000-6614.86</f>
        <v>23385.14</v>
      </c>
      <c r="H290" s="14">
        <v>0</v>
      </c>
      <c r="I290" s="31">
        <f t="shared" si="9"/>
        <v>0</v>
      </c>
    </row>
    <row r="291" spans="1:9" ht="70" customHeight="1" x14ac:dyDescent="0.4">
      <c r="A291" s="35" t="s">
        <v>464</v>
      </c>
      <c r="B291" s="10" t="s">
        <v>99</v>
      </c>
      <c r="C291" s="10" t="s">
        <v>26</v>
      </c>
      <c r="D291" s="10" t="s">
        <v>17</v>
      </c>
      <c r="E291" s="13" t="s">
        <v>463</v>
      </c>
      <c r="F291" s="10" t="s">
        <v>23</v>
      </c>
      <c r="G291" s="14">
        <v>50000</v>
      </c>
      <c r="H291" s="14">
        <v>50000</v>
      </c>
      <c r="I291" s="31">
        <f t="shared" si="9"/>
        <v>100</v>
      </c>
    </row>
    <row r="292" spans="1:9" ht="137.5" customHeight="1" x14ac:dyDescent="0.4">
      <c r="A292" s="36" t="s">
        <v>290</v>
      </c>
      <c r="B292" s="10" t="s">
        <v>99</v>
      </c>
      <c r="C292" s="10" t="s">
        <v>26</v>
      </c>
      <c r="D292" s="10" t="s">
        <v>17</v>
      </c>
      <c r="E292" s="13" t="s">
        <v>289</v>
      </c>
      <c r="F292" s="10" t="s">
        <v>25</v>
      </c>
      <c r="G292" s="14">
        <f>456067.61+13937.88+6614.86</f>
        <v>476620.35</v>
      </c>
      <c r="H292" s="14">
        <v>442587.6</v>
      </c>
      <c r="I292" s="31">
        <f t="shared" si="9"/>
        <v>92.859568417504619</v>
      </c>
    </row>
    <row r="293" spans="1:9" ht="68.5" customHeight="1" x14ac:dyDescent="0.4">
      <c r="A293" s="35" t="s">
        <v>346</v>
      </c>
      <c r="B293" s="10" t="s">
        <v>99</v>
      </c>
      <c r="C293" s="10" t="s">
        <v>26</v>
      </c>
      <c r="D293" s="10" t="s">
        <v>18</v>
      </c>
      <c r="E293" s="13" t="s">
        <v>345</v>
      </c>
      <c r="F293" s="10" t="s">
        <v>23</v>
      </c>
      <c r="G293" s="14">
        <f>451343.67+477531.27+297960.65-7643.26-10000</f>
        <v>1209192.3299999998</v>
      </c>
      <c r="H293" s="14">
        <v>780012.21</v>
      </c>
      <c r="I293" s="31">
        <f t="shared" si="9"/>
        <v>64.506877082159463</v>
      </c>
    </row>
    <row r="294" spans="1:9" ht="72" customHeight="1" x14ac:dyDescent="0.4">
      <c r="A294" s="35" t="s">
        <v>431</v>
      </c>
      <c r="B294" s="10" t="s">
        <v>99</v>
      </c>
      <c r="C294" s="10" t="s">
        <v>26</v>
      </c>
      <c r="D294" s="10" t="s">
        <v>18</v>
      </c>
      <c r="E294" s="13" t="s">
        <v>430</v>
      </c>
      <c r="F294" s="10" t="s">
        <v>23</v>
      </c>
      <c r="G294" s="14">
        <v>7643.26</v>
      </c>
      <c r="H294" s="14">
        <v>7643.26</v>
      </c>
      <c r="I294" s="31">
        <f t="shared" si="9"/>
        <v>100</v>
      </c>
    </row>
    <row r="295" spans="1:9" ht="55.5" customHeight="1" x14ac:dyDescent="0.4">
      <c r="A295" s="35" t="s">
        <v>498</v>
      </c>
      <c r="B295" s="10" t="s">
        <v>99</v>
      </c>
      <c r="C295" s="10" t="s">
        <v>26</v>
      </c>
      <c r="D295" s="10" t="s">
        <v>18</v>
      </c>
      <c r="E295" s="13" t="s">
        <v>497</v>
      </c>
      <c r="F295" s="10" t="s">
        <v>23</v>
      </c>
      <c r="G295" s="14">
        <v>149263.82999999999</v>
      </c>
      <c r="H295" s="14">
        <v>149263.82999999999</v>
      </c>
      <c r="I295" s="31">
        <f t="shared" si="9"/>
        <v>100</v>
      </c>
    </row>
    <row r="296" spans="1:9" ht="71.5" customHeight="1" x14ac:dyDescent="0.4">
      <c r="A296" s="35" t="s">
        <v>373</v>
      </c>
      <c r="B296" s="10" t="s">
        <v>99</v>
      </c>
      <c r="C296" s="10" t="s">
        <v>26</v>
      </c>
      <c r="D296" s="10" t="s">
        <v>18</v>
      </c>
      <c r="E296" s="13" t="s">
        <v>372</v>
      </c>
      <c r="F296" s="10" t="s">
        <v>200</v>
      </c>
      <c r="G296" s="14">
        <f>21600000+214039+4142.82-263266.93</f>
        <v>21554914.890000001</v>
      </c>
      <c r="H296" s="14">
        <v>20997225.940000001</v>
      </c>
      <c r="I296" s="31">
        <f t="shared" si="9"/>
        <v>97.412706323147077</v>
      </c>
    </row>
    <row r="297" spans="1:9" ht="67" customHeight="1" x14ac:dyDescent="0.4">
      <c r="A297" s="34" t="s">
        <v>242</v>
      </c>
      <c r="B297" s="21" t="s">
        <v>99</v>
      </c>
      <c r="C297" s="21" t="s">
        <v>26</v>
      </c>
      <c r="D297" s="21" t="s">
        <v>18</v>
      </c>
      <c r="E297" s="20" t="s">
        <v>217</v>
      </c>
      <c r="F297" s="21" t="s">
        <v>189</v>
      </c>
      <c r="G297" s="9">
        <v>651932.06000000006</v>
      </c>
      <c r="H297" s="9">
        <v>651932.06000000006</v>
      </c>
      <c r="I297" s="31">
        <f t="shared" si="9"/>
        <v>100</v>
      </c>
    </row>
    <row r="298" spans="1:9" ht="66.5" customHeight="1" x14ac:dyDescent="0.4">
      <c r="A298" s="34" t="s">
        <v>291</v>
      </c>
      <c r="B298" s="27" t="s">
        <v>99</v>
      </c>
      <c r="C298" s="27" t="s">
        <v>26</v>
      </c>
      <c r="D298" s="27" t="s">
        <v>18</v>
      </c>
      <c r="E298" s="23" t="s">
        <v>318</v>
      </c>
      <c r="F298" s="27" t="s">
        <v>189</v>
      </c>
      <c r="G298" s="9">
        <v>400000</v>
      </c>
      <c r="H298" s="9">
        <v>400000</v>
      </c>
      <c r="I298" s="31">
        <f t="shared" si="9"/>
        <v>100</v>
      </c>
    </row>
    <row r="299" spans="1:9" ht="56.5" customHeight="1" x14ac:dyDescent="0.4">
      <c r="A299" s="34" t="s">
        <v>220</v>
      </c>
      <c r="B299" s="24" t="s">
        <v>218</v>
      </c>
      <c r="C299" s="24" t="s">
        <v>219</v>
      </c>
      <c r="D299" s="24" t="s">
        <v>18</v>
      </c>
      <c r="E299" s="23" t="s">
        <v>241</v>
      </c>
      <c r="F299" s="24" t="s">
        <v>23</v>
      </c>
      <c r="G299" s="9">
        <f>1600000-44862.6</f>
        <v>1555137.4</v>
      </c>
      <c r="H299" s="9">
        <v>1106389.98</v>
      </c>
      <c r="I299" s="31">
        <f t="shared" si="9"/>
        <v>71.144194718743179</v>
      </c>
    </row>
    <row r="300" spans="1:9" ht="54" customHeight="1" x14ac:dyDescent="0.4">
      <c r="A300" s="36" t="s">
        <v>249</v>
      </c>
      <c r="B300" s="25" t="s">
        <v>99</v>
      </c>
      <c r="C300" s="25" t="s">
        <v>26</v>
      </c>
      <c r="D300" s="25" t="s">
        <v>18</v>
      </c>
      <c r="E300" s="23" t="s">
        <v>247</v>
      </c>
      <c r="F300" s="25" t="s">
        <v>23</v>
      </c>
      <c r="G300" s="9">
        <f>600000+129824+152580+362539-9841+198975.4+127924.61</f>
        <v>1562002.01</v>
      </c>
      <c r="H300" s="9">
        <v>1434077.4</v>
      </c>
      <c r="I300" s="31">
        <f t="shared" si="9"/>
        <v>91.810214764064227</v>
      </c>
    </row>
    <row r="301" spans="1:9" ht="51" customHeight="1" x14ac:dyDescent="0.4">
      <c r="A301" s="35" t="s">
        <v>402</v>
      </c>
      <c r="B301" s="10" t="s">
        <v>99</v>
      </c>
      <c r="C301" s="10" t="s">
        <v>26</v>
      </c>
      <c r="D301" s="10" t="s">
        <v>18</v>
      </c>
      <c r="E301" s="13" t="s">
        <v>401</v>
      </c>
      <c r="F301" s="10" t="s">
        <v>23</v>
      </c>
      <c r="G301" s="14">
        <f>428586.66-34986.66</f>
        <v>393600</v>
      </c>
      <c r="H301" s="14">
        <f>428586.66-34986.66</f>
        <v>393600</v>
      </c>
      <c r="I301" s="31">
        <f t="shared" si="9"/>
        <v>100</v>
      </c>
    </row>
    <row r="302" spans="1:9" ht="56" customHeight="1" x14ac:dyDescent="0.4">
      <c r="A302" s="36" t="s">
        <v>344</v>
      </c>
      <c r="B302" s="29" t="s">
        <v>99</v>
      </c>
      <c r="C302" s="29" t="s">
        <v>26</v>
      </c>
      <c r="D302" s="29" t="s">
        <v>18</v>
      </c>
      <c r="E302" s="23" t="s">
        <v>343</v>
      </c>
      <c r="F302" s="29" t="s">
        <v>189</v>
      </c>
      <c r="G302" s="9">
        <f>120000+130000</f>
        <v>250000</v>
      </c>
      <c r="H302" s="9">
        <f>120000+130000</f>
        <v>250000</v>
      </c>
      <c r="I302" s="31">
        <f t="shared" si="9"/>
        <v>100</v>
      </c>
    </row>
    <row r="303" spans="1:9" ht="59.5" customHeight="1" x14ac:dyDescent="0.4">
      <c r="A303" s="35" t="s">
        <v>466</v>
      </c>
      <c r="B303" s="30" t="s">
        <v>99</v>
      </c>
      <c r="C303" s="30" t="s">
        <v>26</v>
      </c>
      <c r="D303" s="30" t="s">
        <v>18</v>
      </c>
      <c r="E303" s="23" t="s">
        <v>465</v>
      </c>
      <c r="F303" s="30" t="s">
        <v>23</v>
      </c>
      <c r="G303" s="9">
        <v>820794.92</v>
      </c>
      <c r="H303" s="9">
        <v>816690.94</v>
      </c>
      <c r="I303" s="31">
        <f t="shared" si="9"/>
        <v>99.499999342101177</v>
      </c>
    </row>
    <row r="304" spans="1:9" ht="49" customHeight="1" x14ac:dyDescent="0.4">
      <c r="A304" s="34" t="s">
        <v>293</v>
      </c>
      <c r="B304" s="27" t="s">
        <v>99</v>
      </c>
      <c r="C304" s="27" t="s">
        <v>26</v>
      </c>
      <c r="D304" s="27" t="s">
        <v>39</v>
      </c>
      <c r="E304" s="23" t="s">
        <v>292</v>
      </c>
      <c r="F304" s="27" t="s">
        <v>23</v>
      </c>
      <c r="G304" s="9">
        <f>1000000+444523.4</f>
        <v>1444523.4</v>
      </c>
      <c r="H304" s="9">
        <v>0</v>
      </c>
      <c r="I304" s="31">
        <f t="shared" si="9"/>
        <v>0</v>
      </c>
    </row>
    <row r="305" spans="1:9" ht="73" customHeight="1" x14ac:dyDescent="0.4">
      <c r="A305" s="36" t="s">
        <v>294</v>
      </c>
      <c r="B305" s="27" t="s">
        <v>99</v>
      </c>
      <c r="C305" s="27" t="s">
        <v>26</v>
      </c>
      <c r="D305" s="27" t="s">
        <v>39</v>
      </c>
      <c r="E305" s="26" t="s">
        <v>295</v>
      </c>
      <c r="F305" s="27" t="s">
        <v>23</v>
      </c>
      <c r="G305" s="9">
        <f>1000000-454.9</f>
        <v>999545.1</v>
      </c>
      <c r="H305" s="9">
        <f>1000000-454.9</f>
        <v>999545.1</v>
      </c>
      <c r="I305" s="31">
        <f t="shared" si="9"/>
        <v>100</v>
      </c>
    </row>
    <row r="306" spans="1:9" ht="70.5" customHeight="1" x14ac:dyDescent="0.4">
      <c r="A306" s="34" t="s">
        <v>297</v>
      </c>
      <c r="B306" s="10" t="s">
        <v>99</v>
      </c>
      <c r="C306" s="10" t="s">
        <v>26</v>
      </c>
      <c r="D306" s="10" t="s">
        <v>39</v>
      </c>
      <c r="E306" s="13" t="s">
        <v>296</v>
      </c>
      <c r="F306" s="10" t="s">
        <v>189</v>
      </c>
      <c r="G306" s="9">
        <v>570621.41</v>
      </c>
      <c r="H306" s="9">
        <v>570509.21</v>
      </c>
      <c r="I306" s="31">
        <f t="shared" si="9"/>
        <v>99.980337225692239</v>
      </c>
    </row>
    <row r="307" spans="1:9" ht="58" customHeight="1" x14ac:dyDescent="0.4">
      <c r="A307" s="34" t="s">
        <v>180</v>
      </c>
      <c r="B307" s="10" t="s">
        <v>99</v>
      </c>
      <c r="C307" s="10" t="s">
        <v>26</v>
      </c>
      <c r="D307" s="10" t="s">
        <v>39</v>
      </c>
      <c r="E307" s="13" t="s">
        <v>156</v>
      </c>
      <c r="F307" s="10" t="s">
        <v>23</v>
      </c>
      <c r="G307" s="9">
        <f>500000-65225.75-29000-2974.39+249982.59-61.92</f>
        <v>652720.52999999991</v>
      </c>
      <c r="H307" s="9">
        <v>652497.48</v>
      </c>
      <c r="I307" s="31">
        <f t="shared" si="9"/>
        <v>99.965827641425662</v>
      </c>
    </row>
    <row r="308" spans="1:9" ht="68.5" customHeight="1" x14ac:dyDescent="0.4">
      <c r="A308" s="34" t="s">
        <v>404</v>
      </c>
      <c r="B308" s="10" t="s">
        <v>99</v>
      </c>
      <c r="C308" s="10" t="s">
        <v>26</v>
      </c>
      <c r="D308" s="10" t="s">
        <v>39</v>
      </c>
      <c r="E308" s="13" t="s">
        <v>403</v>
      </c>
      <c r="F308" s="10" t="s">
        <v>23</v>
      </c>
      <c r="G308" s="9">
        <v>80000</v>
      </c>
      <c r="H308" s="9">
        <v>80000</v>
      </c>
      <c r="I308" s="31">
        <f t="shared" si="9"/>
        <v>100</v>
      </c>
    </row>
    <row r="309" spans="1:9" ht="73" customHeight="1" x14ac:dyDescent="0.4">
      <c r="A309" s="40" t="s">
        <v>100</v>
      </c>
      <c r="B309" s="10" t="s">
        <v>99</v>
      </c>
      <c r="C309" s="10" t="s">
        <v>41</v>
      </c>
      <c r="D309" s="10" t="s">
        <v>26</v>
      </c>
      <c r="E309" s="13" t="s">
        <v>89</v>
      </c>
      <c r="F309" s="10" t="s">
        <v>23</v>
      </c>
      <c r="G309" s="9">
        <f>6500+1600</f>
        <v>8100</v>
      </c>
      <c r="H309" s="9">
        <f>6500+1600</f>
        <v>8100</v>
      </c>
      <c r="I309" s="31">
        <f t="shared" si="9"/>
        <v>100</v>
      </c>
    </row>
    <row r="310" spans="1:9" s="5" customFormat="1" ht="35.25" customHeight="1" x14ac:dyDescent="0.35">
      <c r="A310" s="45" t="s">
        <v>210</v>
      </c>
      <c r="B310" s="53"/>
      <c r="C310" s="53"/>
      <c r="D310" s="53"/>
      <c r="E310" s="53"/>
      <c r="F310" s="53"/>
      <c r="G310" s="47">
        <f>G269+G256+G234+G122+G116+G107+G16</f>
        <v>625903121.61999977</v>
      </c>
      <c r="H310" s="47">
        <f>H269+H256+H234+H122+H116+H107+H16</f>
        <v>600635057.49999988</v>
      </c>
      <c r="I310" s="54">
        <f t="shared" si="9"/>
        <v>95.962943265948326</v>
      </c>
    </row>
    <row r="311" spans="1:9" s="4" customFormat="1" ht="24" customHeight="1" x14ac:dyDescent="0.35">
      <c r="A311" s="6"/>
      <c r="B311" s="7"/>
      <c r="C311" s="7"/>
      <c r="D311" s="7"/>
      <c r="E311" s="7"/>
      <c r="F311" s="7"/>
      <c r="G311" s="28"/>
    </row>
    <row r="312" spans="1:9" s="4" customFormat="1" x14ac:dyDescent="0.4">
      <c r="A312" s="1"/>
      <c r="B312" s="1"/>
      <c r="C312" s="1"/>
      <c r="D312" s="1"/>
      <c r="E312" s="1"/>
      <c r="F312" s="1"/>
    </row>
    <row r="313" spans="1:9" x14ac:dyDescent="0.4">
      <c r="B313" s="1"/>
      <c r="C313" s="1"/>
      <c r="D313" s="1"/>
      <c r="E313" s="1"/>
      <c r="F313" s="1"/>
    </row>
    <row r="314" spans="1:9" x14ac:dyDescent="0.4">
      <c r="B314" s="1"/>
      <c r="C314" s="1"/>
      <c r="D314" s="1"/>
      <c r="E314" s="1"/>
      <c r="F314" s="1"/>
    </row>
    <row r="315" spans="1:9" x14ac:dyDescent="0.4">
      <c r="B315" s="1"/>
      <c r="C315" s="1"/>
      <c r="D315" s="1"/>
      <c r="E315" s="1"/>
      <c r="F315" s="1"/>
    </row>
    <row r="316" spans="1:9" x14ac:dyDescent="0.4">
      <c r="B316" s="1"/>
      <c r="C316" s="1"/>
      <c r="D316" s="1"/>
      <c r="E316" s="1"/>
      <c r="F316" s="1"/>
    </row>
    <row r="317" spans="1:9" x14ac:dyDescent="0.4">
      <c r="B317" s="1"/>
      <c r="C317" s="1"/>
      <c r="D317" s="1"/>
      <c r="E317" s="1"/>
      <c r="F317" s="1"/>
    </row>
    <row r="318" spans="1:9" x14ac:dyDescent="0.4">
      <c r="B318" s="1"/>
      <c r="C318" s="1"/>
      <c r="D318" s="1"/>
      <c r="E318" s="1"/>
      <c r="F318" s="1"/>
    </row>
    <row r="319" spans="1:9" x14ac:dyDescent="0.4">
      <c r="B319" s="1"/>
      <c r="C319" s="1"/>
      <c r="D319" s="1"/>
      <c r="E319" s="1"/>
      <c r="F319" s="1"/>
    </row>
    <row r="320" spans="1:9" x14ac:dyDescent="0.4">
      <c r="B320" s="1"/>
      <c r="C320" s="1"/>
      <c r="D320" s="1"/>
      <c r="E320" s="1"/>
      <c r="F320" s="1"/>
    </row>
    <row r="321" spans="2:6" x14ac:dyDescent="0.4">
      <c r="B321" s="1"/>
      <c r="C321" s="1"/>
      <c r="D321" s="1"/>
      <c r="E321" s="1"/>
      <c r="F321" s="1"/>
    </row>
    <row r="322" spans="2:6" x14ac:dyDescent="0.4">
      <c r="B322" s="1"/>
      <c r="C322" s="1"/>
      <c r="D322" s="1"/>
      <c r="E322" s="1"/>
      <c r="F322" s="1"/>
    </row>
    <row r="323" spans="2:6" x14ac:dyDescent="0.4">
      <c r="B323" s="1"/>
      <c r="C323" s="1"/>
      <c r="D323" s="1"/>
      <c r="E323" s="1"/>
      <c r="F323" s="1"/>
    </row>
    <row r="324" spans="2:6" x14ac:dyDescent="0.4">
      <c r="B324" s="1"/>
      <c r="C324" s="1"/>
      <c r="D324" s="1"/>
      <c r="E324" s="1"/>
      <c r="F324" s="1"/>
    </row>
    <row r="325" spans="2:6" x14ac:dyDescent="0.4">
      <c r="B325" s="1"/>
      <c r="C325" s="1"/>
      <c r="D325" s="1"/>
      <c r="E325" s="1"/>
      <c r="F325" s="1"/>
    </row>
    <row r="326" spans="2:6" x14ac:dyDescent="0.4">
      <c r="B326" s="1"/>
      <c r="C326" s="1"/>
      <c r="D326" s="1"/>
      <c r="E326" s="1"/>
      <c r="F326" s="1"/>
    </row>
    <row r="327" spans="2:6" x14ac:dyDescent="0.4">
      <c r="B327" s="1"/>
      <c r="C327" s="1"/>
      <c r="D327" s="1"/>
      <c r="E327" s="1"/>
      <c r="F327" s="1"/>
    </row>
    <row r="328" spans="2:6" x14ac:dyDescent="0.4">
      <c r="B328" s="1"/>
      <c r="C328" s="1"/>
      <c r="D328" s="1"/>
      <c r="E328" s="1"/>
      <c r="F328" s="1"/>
    </row>
    <row r="329" spans="2:6" x14ac:dyDescent="0.4">
      <c r="B329" s="1"/>
      <c r="C329" s="1"/>
      <c r="D329" s="1"/>
      <c r="E329" s="1"/>
      <c r="F329" s="1"/>
    </row>
    <row r="330" spans="2:6" x14ac:dyDescent="0.4">
      <c r="B330" s="1"/>
      <c r="C330" s="1"/>
      <c r="D330" s="1"/>
      <c r="E330" s="1"/>
      <c r="F330" s="1"/>
    </row>
    <row r="331" spans="2:6" x14ac:dyDescent="0.4">
      <c r="B331" s="1"/>
      <c r="C331" s="1"/>
      <c r="D331" s="1"/>
      <c r="E331" s="1"/>
      <c r="F331" s="1"/>
    </row>
    <row r="332" spans="2:6" x14ac:dyDescent="0.4">
      <c r="B332" s="1"/>
      <c r="C332" s="1"/>
      <c r="D332" s="1"/>
      <c r="E332" s="1"/>
      <c r="F332" s="1"/>
    </row>
    <row r="333" spans="2:6" x14ac:dyDescent="0.4">
      <c r="B333" s="1"/>
      <c r="C333" s="1"/>
      <c r="D333" s="1"/>
      <c r="E333" s="1"/>
      <c r="F333" s="1"/>
    </row>
    <row r="334" spans="2:6" x14ac:dyDescent="0.4">
      <c r="B334" s="1"/>
      <c r="C334" s="1"/>
      <c r="D334" s="1"/>
      <c r="E334" s="1"/>
      <c r="F334" s="1"/>
    </row>
    <row r="335" spans="2:6" x14ac:dyDescent="0.4">
      <c r="B335" s="1"/>
      <c r="C335" s="1"/>
      <c r="D335" s="1"/>
      <c r="E335" s="1"/>
      <c r="F335" s="1"/>
    </row>
    <row r="336" spans="2:6" x14ac:dyDescent="0.4">
      <c r="B336" s="1"/>
      <c r="C336" s="1"/>
      <c r="D336" s="1"/>
      <c r="E336" s="1"/>
      <c r="F336" s="1"/>
    </row>
    <row r="337" spans="2:6" x14ac:dyDescent="0.4">
      <c r="B337" s="1"/>
      <c r="C337" s="1"/>
      <c r="D337" s="1"/>
      <c r="E337" s="1"/>
      <c r="F337" s="1"/>
    </row>
    <row r="338" spans="2:6" x14ac:dyDescent="0.4">
      <c r="B338" s="1"/>
      <c r="C338" s="1"/>
      <c r="D338" s="1"/>
      <c r="E338" s="1"/>
      <c r="F338" s="1"/>
    </row>
    <row r="339" spans="2:6" x14ac:dyDescent="0.4">
      <c r="B339" s="1"/>
      <c r="C339" s="1"/>
      <c r="D339" s="1"/>
      <c r="E339" s="1"/>
      <c r="F339" s="1"/>
    </row>
    <row r="340" spans="2:6" x14ac:dyDescent="0.4">
      <c r="B340" s="1"/>
      <c r="C340" s="1"/>
      <c r="D340" s="1"/>
      <c r="E340" s="1"/>
      <c r="F340" s="1"/>
    </row>
    <row r="341" spans="2:6" x14ac:dyDescent="0.4">
      <c r="B341" s="1"/>
      <c r="C341" s="1"/>
      <c r="D341" s="1"/>
      <c r="E341" s="1"/>
      <c r="F341" s="1"/>
    </row>
    <row r="342" spans="2:6" x14ac:dyDescent="0.4">
      <c r="B342" s="1"/>
      <c r="C342" s="1"/>
      <c r="D342" s="1"/>
      <c r="E342" s="1"/>
      <c r="F342" s="1"/>
    </row>
    <row r="343" spans="2:6" x14ac:dyDescent="0.4">
      <c r="B343" s="1"/>
      <c r="C343" s="1"/>
      <c r="D343" s="1"/>
      <c r="E343" s="1"/>
      <c r="F343" s="1"/>
    </row>
    <row r="344" spans="2:6" x14ac:dyDescent="0.4">
      <c r="B344" s="1"/>
      <c r="C344" s="1"/>
      <c r="D344" s="1"/>
      <c r="E344" s="1"/>
      <c r="F344" s="1"/>
    </row>
    <row r="345" spans="2:6" x14ac:dyDescent="0.4">
      <c r="B345" s="1"/>
      <c r="C345" s="1"/>
      <c r="D345" s="1"/>
      <c r="E345" s="1"/>
      <c r="F345" s="1"/>
    </row>
    <row r="346" spans="2:6" x14ac:dyDescent="0.4">
      <c r="B346" s="1"/>
      <c r="C346" s="1"/>
      <c r="D346" s="1"/>
      <c r="E346" s="1"/>
      <c r="F346" s="1"/>
    </row>
    <row r="347" spans="2:6" x14ac:dyDescent="0.4">
      <c r="B347" s="1"/>
      <c r="C347" s="1"/>
      <c r="D347" s="1"/>
      <c r="E347" s="1"/>
      <c r="F347" s="1"/>
    </row>
    <row r="348" spans="2:6" x14ac:dyDescent="0.4">
      <c r="B348" s="1"/>
      <c r="C348" s="1"/>
      <c r="D348" s="1"/>
      <c r="E348" s="1"/>
      <c r="F348" s="1"/>
    </row>
    <row r="349" spans="2:6" x14ac:dyDescent="0.4">
      <c r="B349" s="1"/>
      <c r="C349" s="1"/>
      <c r="D349" s="1"/>
      <c r="E349" s="1"/>
      <c r="F349" s="1"/>
    </row>
    <row r="350" spans="2:6" x14ac:dyDescent="0.4">
      <c r="B350" s="1"/>
      <c r="C350" s="1"/>
      <c r="D350" s="1"/>
      <c r="E350" s="1"/>
      <c r="F350" s="1"/>
    </row>
    <row r="351" spans="2:6" x14ac:dyDescent="0.4">
      <c r="B351" s="1"/>
      <c r="C351" s="1"/>
      <c r="D351" s="1"/>
      <c r="E351" s="1"/>
      <c r="F351" s="1"/>
    </row>
    <row r="352" spans="2:6" x14ac:dyDescent="0.4">
      <c r="B352" s="1"/>
      <c r="C352" s="1"/>
      <c r="D352" s="1"/>
      <c r="E352" s="1"/>
      <c r="F352" s="1"/>
    </row>
    <row r="353" spans="2:6" x14ac:dyDescent="0.4">
      <c r="B353" s="1"/>
      <c r="C353" s="1"/>
      <c r="D353" s="1"/>
      <c r="E353" s="1"/>
      <c r="F353" s="1"/>
    </row>
    <row r="354" spans="2:6" x14ac:dyDescent="0.4">
      <c r="B354" s="1"/>
      <c r="C354" s="1"/>
      <c r="D354" s="1"/>
      <c r="E354" s="1"/>
      <c r="F354" s="1"/>
    </row>
    <row r="355" spans="2:6" x14ac:dyDescent="0.4">
      <c r="B355" s="1"/>
      <c r="C355" s="1"/>
      <c r="D355" s="1"/>
      <c r="E355" s="1"/>
      <c r="F355" s="1"/>
    </row>
    <row r="356" spans="2:6" x14ac:dyDescent="0.4">
      <c r="B356" s="1"/>
      <c r="C356" s="1"/>
      <c r="D356" s="1"/>
      <c r="E356" s="1"/>
      <c r="F356" s="1"/>
    </row>
    <row r="357" spans="2:6" x14ac:dyDescent="0.4">
      <c r="B357" s="1"/>
      <c r="C357" s="1"/>
      <c r="D357" s="1"/>
      <c r="E357" s="1"/>
      <c r="F357" s="1"/>
    </row>
    <row r="358" spans="2:6" x14ac:dyDescent="0.4">
      <c r="B358" s="1"/>
      <c r="C358" s="1"/>
      <c r="D358" s="1"/>
      <c r="E358" s="1"/>
      <c r="F358" s="1"/>
    </row>
    <row r="359" spans="2:6" x14ac:dyDescent="0.4">
      <c r="B359" s="1"/>
      <c r="C359" s="1"/>
      <c r="D359" s="1"/>
      <c r="E359" s="1"/>
      <c r="F359" s="1"/>
    </row>
    <row r="360" spans="2:6" x14ac:dyDescent="0.4">
      <c r="B360" s="1"/>
      <c r="C360" s="1"/>
      <c r="D360" s="1"/>
      <c r="E360" s="1"/>
      <c r="F360" s="1"/>
    </row>
    <row r="361" spans="2:6" x14ac:dyDescent="0.4">
      <c r="B361" s="1"/>
      <c r="C361" s="1"/>
      <c r="D361" s="1"/>
      <c r="E361" s="1"/>
      <c r="F361" s="1"/>
    </row>
    <row r="362" spans="2:6" x14ac:dyDescent="0.4">
      <c r="B362" s="1"/>
      <c r="C362" s="1"/>
      <c r="D362" s="1"/>
      <c r="E362" s="1"/>
      <c r="F362" s="1"/>
    </row>
    <row r="363" spans="2:6" x14ac:dyDescent="0.4">
      <c r="B363" s="1"/>
      <c r="C363" s="1"/>
      <c r="D363" s="1"/>
      <c r="E363" s="1"/>
      <c r="F363" s="1"/>
    </row>
    <row r="364" spans="2:6" x14ac:dyDescent="0.4">
      <c r="B364" s="1"/>
      <c r="C364" s="1"/>
      <c r="D364" s="1"/>
      <c r="E364" s="1"/>
      <c r="F364" s="1"/>
    </row>
    <row r="365" spans="2:6" x14ac:dyDescent="0.4">
      <c r="B365" s="1"/>
      <c r="C365" s="1"/>
      <c r="D365" s="1"/>
      <c r="E365" s="1"/>
      <c r="F365" s="1"/>
    </row>
    <row r="366" spans="2:6" x14ac:dyDescent="0.4">
      <c r="B366" s="1"/>
      <c r="C366" s="1"/>
      <c r="D366" s="1"/>
      <c r="E366" s="1"/>
      <c r="F366" s="1"/>
    </row>
    <row r="367" spans="2:6" x14ac:dyDescent="0.4">
      <c r="B367" s="1"/>
      <c r="C367" s="1"/>
      <c r="D367" s="1"/>
      <c r="E367" s="1"/>
      <c r="F367" s="1"/>
    </row>
    <row r="368" spans="2:6" x14ac:dyDescent="0.4">
      <c r="B368" s="1"/>
      <c r="C368" s="1"/>
      <c r="D368" s="1"/>
      <c r="E368" s="1"/>
      <c r="F368" s="1"/>
    </row>
    <row r="369" spans="2:6" x14ac:dyDescent="0.4">
      <c r="B369" s="1"/>
      <c r="C369" s="1"/>
      <c r="D369" s="1"/>
      <c r="E369" s="1"/>
      <c r="F369" s="1"/>
    </row>
    <row r="370" spans="2:6" x14ac:dyDescent="0.4">
      <c r="B370" s="1"/>
      <c r="C370" s="1"/>
      <c r="D370" s="1"/>
      <c r="E370" s="1"/>
      <c r="F370" s="1"/>
    </row>
    <row r="371" spans="2:6" x14ac:dyDescent="0.4">
      <c r="B371" s="1"/>
      <c r="C371" s="1"/>
      <c r="D371" s="1"/>
      <c r="E371" s="1"/>
      <c r="F371" s="1"/>
    </row>
    <row r="372" spans="2:6" x14ac:dyDescent="0.4">
      <c r="B372" s="1"/>
      <c r="C372" s="1"/>
      <c r="D372" s="1"/>
      <c r="E372" s="1"/>
      <c r="F372" s="1"/>
    </row>
    <row r="373" spans="2:6" x14ac:dyDescent="0.4">
      <c r="B373" s="1"/>
      <c r="C373" s="1"/>
      <c r="D373" s="1"/>
      <c r="E373" s="1"/>
      <c r="F373" s="1"/>
    </row>
    <row r="374" spans="2:6" x14ac:dyDescent="0.4">
      <c r="B374" s="1"/>
      <c r="C374" s="1"/>
      <c r="D374" s="1"/>
      <c r="E374" s="1"/>
      <c r="F374" s="1"/>
    </row>
    <row r="375" spans="2:6" x14ac:dyDescent="0.4">
      <c r="B375" s="1"/>
      <c r="C375" s="1"/>
      <c r="D375" s="1"/>
      <c r="E375" s="1"/>
      <c r="F375" s="1"/>
    </row>
    <row r="376" spans="2:6" x14ac:dyDescent="0.4">
      <c r="B376" s="1"/>
      <c r="C376" s="1"/>
      <c r="D376" s="1"/>
      <c r="E376" s="1"/>
      <c r="F376" s="1"/>
    </row>
    <row r="377" spans="2:6" x14ac:dyDescent="0.4">
      <c r="B377" s="1"/>
      <c r="C377" s="1"/>
      <c r="D377" s="1"/>
      <c r="E377" s="1"/>
      <c r="F377" s="1"/>
    </row>
    <row r="378" spans="2:6" x14ac:dyDescent="0.4">
      <c r="B378" s="1"/>
      <c r="C378" s="1"/>
      <c r="D378" s="1"/>
      <c r="E378" s="1"/>
      <c r="F378" s="1"/>
    </row>
    <row r="379" spans="2:6" x14ac:dyDescent="0.4">
      <c r="B379" s="1"/>
      <c r="C379" s="1"/>
      <c r="D379" s="1"/>
      <c r="E379" s="1"/>
      <c r="F379" s="1"/>
    </row>
    <row r="380" spans="2:6" x14ac:dyDescent="0.4">
      <c r="B380" s="1"/>
      <c r="C380" s="1"/>
      <c r="D380" s="1"/>
      <c r="E380" s="1"/>
      <c r="F380" s="1"/>
    </row>
    <row r="381" spans="2:6" x14ac:dyDescent="0.4">
      <c r="B381" s="1"/>
      <c r="C381" s="1"/>
      <c r="D381" s="1"/>
      <c r="E381" s="1"/>
      <c r="F381" s="1"/>
    </row>
    <row r="382" spans="2:6" x14ac:dyDescent="0.4">
      <c r="B382" s="1"/>
      <c r="C382" s="1"/>
      <c r="D382" s="1"/>
      <c r="E382" s="1"/>
      <c r="F382" s="1"/>
    </row>
    <row r="383" spans="2:6" x14ac:dyDescent="0.4">
      <c r="B383" s="1"/>
      <c r="C383" s="1"/>
      <c r="D383" s="1"/>
      <c r="E383" s="1"/>
      <c r="F383" s="1"/>
    </row>
    <row r="384" spans="2:6" x14ac:dyDescent="0.4">
      <c r="B384" s="1"/>
      <c r="C384" s="1"/>
      <c r="D384" s="1"/>
      <c r="E384" s="1"/>
      <c r="F384" s="1"/>
    </row>
    <row r="385" spans="2:6" x14ac:dyDescent="0.4">
      <c r="B385" s="1"/>
      <c r="C385" s="1"/>
      <c r="D385" s="1"/>
      <c r="E385" s="1"/>
      <c r="F385" s="1"/>
    </row>
    <row r="386" spans="2:6" x14ac:dyDescent="0.4">
      <c r="B386" s="1"/>
      <c r="C386" s="1"/>
      <c r="D386" s="1"/>
      <c r="E386" s="1"/>
      <c r="F386" s="1"/>
    </row>
    <row r="387" spans="2:6" x14ac:dyDescent="0.4">
      <c r="B387" s="1"/>
      <c r="C387" s="1"/>
      <c r="D387" s="1"/>
      <c r="E387" s="1"/>
      <c r="F387" s="1"/>
    </row>
    <row r="388" spans="2:6" x14ac:dyDescent="0.4">
      <c r="B388" s="1"/>
      <c r="C388" s="1"/>
      <c r="D388" s="1"/>
      <c r="E388" s="1"/>
      <c r="F388" s="1"/>
    </row>
    <row r="389" spans="2:6" x14ac:dyDescent="0.4">
      <c r="B389" s="1"/>
      <c r="C389" s="1"/>
      <c r="D389" s="1"/>
      <c r="E389" s="1"/>
      <c r="F389" s="1"/>
    </row>
    <row r="390" spans="2:6" x14ac:dyDescent="0.4">
      <c r="B390" s="1"/>
      <c r="C390" s="1"/>
      <c r="D390" s="1"/>
      <c r="E390" s="1"/>
      <c r="F390" s="1"/>
    </row>
    <row r="391" spans="2:6" x14ac:dyDescent="0.4">
      <c r="B391" s="1"/>
      <c r="C391" s="1"/>
      <c r="D391" s="1"/>
      <c r="E391" s="1"/>
      <c r="F391" s="1"/>
    </row>
    <row r="392" spans="2:6" x14ac:dyDescent="0.4">
      <c r="B392" s="1"/>
      <c r="C392" s="1"/>
      <c r="D392" s="1"/>
      <c r="E392" s="1"/>
      <c r="F392" s="1"/>
    </row>
    <row r="393" spans="2:6" x14ac:dyDescent="0.4">
      <c r="B393" s="1"/>
      <c r="C393" s="1"/>
      <c r="D393" s="1"/>
      <c r="E393" s="1"/>
      <c r="F393" s="1"/>
    </row>
    <row r="394" spans="2:6" x14ac:dyDescent="0.4">
      <c r="B394" s="1"/>
      <c r="C394" s="1"/>
      <c r="D394" s="1"/>
      <c r="E394" s="1"/>
      <c r="F394" s="1"/>
    </row>
    <row r="395" spans="2:6" x14ac:dyDescent="0.4">
      <c r="B395" s="1"/>
      <c r="C395" s="1"/>
      <c r="D395" s="1"/>
      <c r="E395" s="1"/>
      <c r="F395" s="1"/>
    </row>
    <row r="396" spans="2:6" x14ac:dyDescent="0.4">
      <c r="B396" s="1"/>
      <c r="C396" s="1"/>
      <c r="D396" s="1"/>
      <c r="E396" s="1"/>
      <c r="F396" s="1"/>
    </row>
    <row r="397" spans="2:6" x14ac:dyDescent="0.4">
      <c r="B397" s="1"/>
      <c r="C397" s="1"/>
      <c r="D397" s="1"/>
      <c r="E397" s="1"/>
      <c r="F397" s="1"/>
    </row>
    <row r="398" spans="2:6" x14ac:dyDescent="0.4">
      <c r="B398" s="1"/>
      <c r="C398" s="1"/>
      <c r="D398" s="1"/>
      <c r="E398" s="1"/>
      <c r="F398" s="1"/>
    </row>
    <row r="399" spans="2:6" x14ac:dyDescent="0.4">
      <c r="B399" s="1"/>
      <c r="C399" s="1"/>
      <c r="D399" s="1"/>
      <c r="E399" s="1"/>
      <c r="F399" s="1"/>
    </row>
    <row r="400" spans="2:6" x14ac:dyDescent="0.4">
      <c r="B400" s="1"/>
      <c r="C400" s="1"/>
      <c r="D400" s="1"/>
      <c r="E400" s="1"/>
      <c r="F400" s="1"/>
    </row>
    <row r="401" spans="2:6" x14ac:dyDescent="0.4">
      <c r="B401" s="1"/>
      <c r="C401" s="1"/>
      <c r="D401" s="1"/>
      <c r="E401" s="1"/>
      <c r="F401" s="1"/>
    </row>
  </sheetData>
  <mergeCells count="19">
    <mergeCell ref="H12:H14"/>
    <mergeCell ref="I12:I14"/>
    <mergeCell ref="A10:I10"/>
    <mergeCell ref="E1:I1"/>
    <mergeCell ref="E2:I2"/>
    <mergeCell ref="E3:I3"/>
    <mergeCell ref="E4:I4"/>
    <mergeCell ref="E5:I5"/>
    <mergeCell ref="E6:I6"/>
    <mergeCell ref="E7:I7"/>
    <mergeCell ref="E8:I8"/>
    <mergeCell ref="A11:G11"/>
    <mergeCell ref="E12:E14"/>
    <mergeCell ref="F12:F14"/>
    <mergeCell ref="A12:A14"/>
    <mergeCell ref="B12:B14"/>
    <mergeCell ref="C12:C14"/>
    <mergeCell ref="D12:D14"/>
    <mergeCell ref="G12:G14"/>
  </mergeCells>
  <pageMargins left="1.1023622047244095" right="0.78740157480314965" top="0.78740157480314965" bottom="0.78740157480314965"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Вед 2022</vt:lpstr>
      <vt:lpstr>'Прил.9 Вед 2022'!Заголовки_для_печати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2023-03-22T07:19:00Z</dcterms:modified>
</cp:coreProperties>
</file>