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2020'!$13:$13</definedName>
  </definedNames>
  <calcPr fullCalcOnLoad="1"/>
</workbook>
</file>

<file path=xl/sharedStrings.xml><?xml version="1.0" encoding="utf-8"?>
<sst xmlns="http://schemas.openxmlformats.org/spreadsheetml/2006/main" count="342" uniqueCount="339">
  <si>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</si>
  <si>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</si>
  <si>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</si>
  <si>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</si>
  <si>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</si>
  <si>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</si>
  <si>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</si>
  <si>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</si>
  <si>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</si>
  <si>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</si>
  <si>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</si>
  <si>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</si>
  <si>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</si>
  <si>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</si>
  <si>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</si>
  <si>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</si>
  <si>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</si>
  <si>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</si>
  <si>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</si>
  <si>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</si>
  <si>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</si>
  <si>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</si>
  <si>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</si>
  <si>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</si>
  <si>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</si>
  <si>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</si>
  <si>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</si>
  <si>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</si>
  <si>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</si>
  <si>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</si>
  <si>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</si>
  <si>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</si>
  <si>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</si>
  <si>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</si>
  <si>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</si>
  <si>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</si>
  <si>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</si>
  <si>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</si>
  <si>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</si>
  <si>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</si>
  <si>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</si>
  <si>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</si>
  <si>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</si>
  <si>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</si>
  <si>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</si>
  <si>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</si>
  <si>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</si>
  <si>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</si>
  <si>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</si>
  <si>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</si>
  <si>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</si>
  <si>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</si>
  <si>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</si>
  <si>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</si>
  <si>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</si>
  <si>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</si>
  <si>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</si>
  <si>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</si>
  <si>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</si>
  <si>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</si>
  <si>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</si>
  <si>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</si>
  <si>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</si>
  <si>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</si>
  <si>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</si>
  <si>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</si>
  <si>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</si>
  <si>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</si>
  <si>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</si>
  <si>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</si>
  <si>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</si>
  <si>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</si>
  <si>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</si>
  <si>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</si>
  <si>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</si>
  <si>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</si>
  <si>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</si>
  <si>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</si>
  <si>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</si>
  <si>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</si>
  <si>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</si>
  <si>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</si>
  <si>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</si>
  <si>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</si>
  <si>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</si>
  <si>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</si>
  <si>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</si>
  <si>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</si>
  <si>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</si>
  <si>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</si>
  <si>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</si>
  <si>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</si>
  <si>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</si>
  <si>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</si>
  <si>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</si>
  <si>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</si>
  <si>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</si>
  <si>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</si>
  <si>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</si>
  <si>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</si>
  <si>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</si>
  <si>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</si>
  <si>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</si>
  <si>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</si>
  <si>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</si>
  <si>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</si>
  <si>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</si>
  <si>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</si>
  <si>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</si>
  <si>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</si>
  <si>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</si>
  <si>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</si>
  <si>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</si>
  <si>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</si>
  <si>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</si>
  <si>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</si>
  <si>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</si>
  <si>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</si>
  <si>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</si>
  <si>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</si>
  <si>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</si>
  <si>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</si>
  <si>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</si>
  <si>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</si>
  <si>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</si>
  <si>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</si>
  <si>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</si>
  <si>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</si>
  <si>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</si>
  <si>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</si>
  <si>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</si>
  <si>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</si>
  <si>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</si>
  <si>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</si>
  <si>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</si>
  <si>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</si>
  <si>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</si>
  <si>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</si>
  <si>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</si>
  <si>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</si>
  <si>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</si>
  <si>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</si>
  <si>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</si>
  <si>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</si>
  <si>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</si>
  <si>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</si>
  <si>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</si>
  <si>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</si>
  <si>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</si>
  <si>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</si>
  <si>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</si>
  <si>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</si>
  <si>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</si>
  <si>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</si>
  <si>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</si>
  <si>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</si>
  <si>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</si>
  <si>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</si>
  <si>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</si>
  <si>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</si>
  <si>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</si>
  <si>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</si>
  <si>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</si>
  <si>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</si>
  <si>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</si>
  <si>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</si>
  <si>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</si>
  <si>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</si>
  <si>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</si>
  <si>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</si>
  <si>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</si>
  <si>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</si>
  <si>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</si>
  <si>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</si>
  <si>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</si>
  <si>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</si>
  <si>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</si>
  <si>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</si>
  <si>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</si>
  <si>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</si>
  <si>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</si>
  <si>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</si>
  <si>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</si>
  <si>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</si>
  <si>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</si>
  <si>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</si>
  <si>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</si>
  <si>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</si>
  <si>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</si>
  <si>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</si>
  <si>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</si>
  <si>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</si>
  <si>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</si>
  <si>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</si>
  <si>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</si>
  <si>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</si>
  <si>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</si>
  <si>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</si>
  <si>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</si>
  <si>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</si>
  <si>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</si>
  <si>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</si>
  <si>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</si>
  <si>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</si>
  <si>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</si>
  <si>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</si>
  <si>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</si>
  <si>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</si>
  <si>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</si>
  <si>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</si>
  <si>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</si>
  <si>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</si>
  <si>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</si>
  <si>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</si>
  <si>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</si>
  <si>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</si>
  <si>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</si>
  <si>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</si>
  <si>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</si>
  <si>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</si>
  <si>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</si>
  <si>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</si>
  <si>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</si>
  <si>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</si>
  <si>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</si>
  <si>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</si>
  <si>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</si>
  <si>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</si>
  <si>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</si>
  <si>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</si>
  <si>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</si>
  <si>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</si>
  <si>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</si>
  <si>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</si>
  <si>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</si>
  <si>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</si>
  <si>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</si>
  <si>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</si>
  <si>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</si>
  <si>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</si>
  <si>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</si>
  <si>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</si>
  <si>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</si>
  <si>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</si>
  <si>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</si>
  <si>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</si>
  <si>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</si>
  <si>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</si>
  <si>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</si>
  <si>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</si>
  <si>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</si>
  <si>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</si>
  <si>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</si>
  <si>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</si>
  <si>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</si>
  <si>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</si>
  <si>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</si>
  <si>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</si>
  <si>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</si>
  <si>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</si>
  <si>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</si>
  <si>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</si>
  <si>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</si>
  <si>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</si>
  <si>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</si>
  <si>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</si>
  <si>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</si>
  <si>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</si>
  <si>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</si>
  <si>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</si>
  <si>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</si>
  <si>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</si>
  <si>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</si>
  <si>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</si>
  <si>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</si>
  <si>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</si>
  <si>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</si>
  <si>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</si>
  <si>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</si>
  <si>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</si>
  <si>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</si>
  <si>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</si>
  <si>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</si>
  <si>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</si>
  <si>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</si>
  <si>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</si>
  <si>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</si>
  <si>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</si>
  <si>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</si>
  <si>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</si>
  <si>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</si>
  <si>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</si>
  <si>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</si>
  <si>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</si>
  <si>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</si>
  <si>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</si>
  <si>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</si>
  <si>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</si>
  <si>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</si>
  <si>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</si>
  <si>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</si>
  <si>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</si>
  <si>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</si>
  <si>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</si>
  <si>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</si>
  <si>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</si>
  <si>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</si>
  <si>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</si>
  <si>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</si>
  <si>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</si>
  <si>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</si>
  <si>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</si>
  <si>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</si>
  <si>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</si>
  <si>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</si>
  <si>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</si>
  <si>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</si>
  <si>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>03 1 01 21460</t>
  </si>
  <si>
    <t>Приобретение и установка камер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</si>
  <si>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</si>
  <si>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</si>
  <si>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</si>
  <si>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 (Иные бюджетные ассигнования) </t>
  </si>
  <si>
    <t>01 2 01 21480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</si>
  <si>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</si>
  <si>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</si>
  <si>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</si>
  <si>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31 9 00 66030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</si>
  <si>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03 ноября 2020 года  по адресу: Ивановская область, г. Южа, ул. Революции, д. 20 (Социальное обеспечение и иные выплаты населению) </t>
  </si>
  <si>
    <t>31 9 00 90210</t>
  </si>
  <si>
    <t xml:space="preserve">Исполнительский сбор по постановлениям судебного пристава-исполнителя о взыскании исполнительского сбора от 22.01.2019 г. № 37023/19/127682, по делу № 2а-83/2017,  от 22.01.2019 г. № 37023/19/127683, по делу № 2а-438/2016,  от 17.07.2019г. по   делу  № 2а-67/2017  (Иные бюджетные ассигнования) </t>
  </si>
  <si>
    <t>06 1 01 21500</t>
  </si>
  <si>
    <t>Реализация  программ формирования современной городской среды (Благоустройство территории оз. Вазаль. Этап 4 часть 9,14)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</si>
  <si>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16.11.2020 г. № 37023/20/287261, по делу № 2-173/2018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</si>
  <si>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37023/20/286883, по делу № 2-358/2017 (Иные бюджетные ассигнования) </t>
  </si>
  <si>
    <t>31 9 00 90220</t>
  </si>
  <si>
    <t>31 9 00 90230</t>
  </si>
  <si>
    <t>Приложение № 6</t>
  </si>
  <si>
    <t>(таблица изложена в новой редакции в соответствии с Решением Совета Южского городского поселения от 28.12.2020 № 39)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</si>
</sst>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2"/>
      <color indexed="18"/>
      <name val="Times New Roman"/>
      <family val="1"/>
    </font>
    <font>
      <i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2"/>
      <color theme="3" tint="-0.24997000396251678"/>
      <name val="Times New Roman"/>
      <family val="1"/>
    </font>
    <font>
      <i/>
      <sz val="12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46" fillId="33" borderId="0" xfId="0" applyFont="1" applyFill="1" applyAlignment="1">
      <alignment horizontal="justify" vertical="top" wrapText="1"/>
    </xf>
    <xf numFmtId="0" fontId="46" fillId="33" borderId="11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1" fontId="47" fillId="33" borderId="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="90" zoomScaleNormal="90" zoomScalePageLayoutView="0" workbookViewId="0" topLeftCell="A67">
      <selection activeCell="A70" sqref="A70:C70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5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7" t="s">
        <v>337</v>
      </c>
      <c r="B1" s="47"/>
      <c r="C1" s="47"/>
      <c r="D1" s="47"/>
    </row>
    <row r="2" spans="1:4" ht="18.75">
      <c r="A2" s="47" t="s">
        <v>116</v>
      </c>
      <c r="B2" s="47"/>
      <c r="C2" s="47"/>
      <c r="D2" s="47"/>
    </row>
    <row r="3" spans="1:4" ht="18.75">
      <c r="A3" s="47" t="s">
        <v>117</v>
      </c>
      <c r="B3" s="47"/>
      <c r="C3" s="47"/>
      <c r="D3" s="47"/>
    </row>
    <row r="4" spans="1:4" ht="18.75">
      <c r="A4" s="47" t="s">
        <v>118</v>
      </c>
      <c r="B4" s="47"/>
      <c r="C4" s="47"/>
      <c r="D4" s="47"/>
    </row>
    <row r="5" spans="1:4" ht="18.75">
      <c r="A5" s="47" t="s">
        <v>119</v>
      </c>
      <c r="B5" s="47"/>
      <c r="C5" s="47"/>
      <c r="D5" s="47"/>
    </row>
    <row r="6" spans="1:4" ht="78" customHeight="1">
      <c r="A6" s="48" t="s">
        <v>137</v>
      </c>
      <c r="B6" s="48"/>
      <c r="C6" s="48"/>
      <c r="D6" s="48"/>
    </row>
    <row r="7" spans="1:4" ht="20.25" customHeight="1">
      <c r="A7" s="47" t="s">
        <v>187</v>
      </c>
      <c r="B7" s="47"/>
      <c r="C7" s="47"/>
      <c r="D7" s="47"/>
    </row>
    <row r="9" spans="1:4" s="7" customFormat="1" ht="136.5" customHeight="1">
      <c r="A9" s="46" t="s">
        <v>142</v>
      </c>
      <c r="B9" s="46"/>
      <c r="C9" s="46"/>
      <c r="D9" s="46"/>
    </row>
    <row r="10" spans="1:4" s="7" customFormat="1" ht="39" customHeight="1">
      <c r="A10" s="49" t="s">
        <v>338</v>
      </c>
      <c r="B10" s="50"/>
      <c r="C10" s="50"/>
      <c r="D10" s="50"/>
    </row>
    <row r="11" spans="2:3" ht="9" customHeight="1">
      <c r="B11" s="8"/>
      <c r="C11" s="8"/>
    </row>
    <row r="12" spans="1:4" ht="57" customHeight="1">
      <c r="A12" s="9" t="s">
        <v>138</v>
      </c>
      <c r="B12" s="9" t="s">
        <v>139</v>
      </c>
      <c r="C12" s="10" t="s">
        <v>140</v>
      </c>
      <c r="D12" s="3" t="s">
        <v>141</v>
      </c>
    </row>
    <row r="13" spans="1:4" s="12" customFormat="1" ht="18.75">
      <c r="A13" s="9">
        <v>1</v>
      </c>
      <c r="B13" s="9">
        <v>2</v>
      </c>
      <c r="C13" s="9">
        <v>3</v>
      </c>
      <c r="D13" s="11">
        <v>4</v>
      </c>
    </row>
    <row r="14" spans="1:4" s="16" customFormat="1" ht="56.25">
      <c r="A14" s="13" t="s">
        <v>94</v>
      </c>
      <c r="B14" s="14" t="s">
        <v>0</v>
      </c>
      <c r="C14" s="3"/>
      <c r="D14" s="15">
        <f>D15+D18</f>
        <v>37103128.13</v>
      </c>
    </row>
    <row r="15" spans="1:4" s="16" customFormat="1" ht="58.5" customHeight="1">
      <c r="A15" s="13" t="s">
        <v>21</v>
      </c>
      <c r="B15" s="14" t="s">
        <v>1</v>
      </c>
      <c r="C15" s="14"/>
      <c r="D15" s="15">
        <f>D16</f>
        <v>100000</v>
      </c>
    </row>
    <row r="16" spans="1:4" s="20" customFormat="1" ht="56.25">
      <c r="A16" s="17" t="s">
        <v>20</v>
      </c>
      <c r="B16" s="18" t="s">
        <v>19</v>
      </c>
      <c r="C16" s="18"/>
      <c r="D16" s="19">
        <f>D17</f>
        <v>100000</v>
      </c>
    </row>
    <row r="17" spans="1:4" ht="136.5" customHeight="1">
      <c r="A17" s="2" t="s">
        <v>129</v>
      </c>
      <c r="B17" s="3" t="s">
        <v>70</v>
      </c>
      <c r="C17" s="3">
        <v>600</v>
      </c>
      <c r="D17" s="1">
        <f>100000</f>
        <v>100000</v>
      </c>
    </row>
    <row r="18" spans="1:4" ht="58.5" customHeight="1">
      <c r="A18" s="13" t="s">
        <v>93</v>
      </c>
      <c r="B18" s="14" t="s">
        <v>2</v>
      </c>
      <c r="C18" s="3"/>
      <c r="D18" s="15">
        <f>D19</f>
        <v>37003128.13</v>
      </c>
    </row>
    <row r="19" spans="1:4" s="20" customFormat="1" ht="78" customHeight="1">
      <c r="A19" s="21" t="s">
        <v>24</v>
      </c>
      <c r="B19" s="18" t="s">
        <v>3</v>
      </c>
      <c r="C19" s="18"/>
      <c r="D19" s="19">
        <f>SUM(D20:D35)</f>
        <v>37003128.13</v>
      </c>
    </row>
    <row r="20" spans="1:4" ht="97.5" customHeight="1">
      <c r="A20" s="5" t="s">
        <v>130</v>
      </c>
      <c r="B20" s="3" t="s">
        <v>63</v>
      </c>
      <c r="C20" s="3">
        <v>600</v>
      </c>
      <c r="D20" s="1">
        <f>16828896.79-355944.43-113000+29850</f>
        <v>16389802.36</v>
      </c>
    </row>
    <row r="21" spans="1:4" ht="117" customHeight="1">
      <c r="A21" s="5" t="s">
        <v>282</v>
      </c>
      <c r="B21" s="3" t="s">
        <v>278</v>
      </c>
      <c r="C21" s="3">
        <v>600</v>
      </c>
      <c r="D21" s="1">
        <f>66934</f>
        <v>66934</v>
      </c>
    </row>
    <row r="22" spans="1:4" ht="96.75" customHeight="1">
      <c r="A22" s="5" t="s">
        <v>283</v>
      </c>
      <c r="B22" s="3" t="s">
        <v>281</v>
      </c>
      <c r="C22" s="3">
        <v>600</v>
      </c>
      <c r="D22" s="1">
        <f>113000</f>
        <v>113000</v>
      </c>
    </row>
    <row r="23" spans="1:4" ht="96.75" customHeight="1">
      <c r="A23" s="5" t="s">
        <v>315</v>
      </c>
      <c r="B23" s="3" t="s">
        <v>316</v>
      </c>
      <c r="C23" s="3">
        <v>600</v>
      </c>
      <c r="D23" s="1">
        <f>66150</f>
        <v>66150</v>
      </c>
    </row>
    <row r="24" spans="1:4" ht="60" customHeight="1">
      <c r="A24" s="2" t="s">
        <v>31</v>
      </c>
      <c r="B24" s="3" t="s">
        <v>62</v>
      </c>
      <c r="C24" s="3">
        <v>600</v>
      </c>
      <c r="D24" s="1">
        <f>33440</f>
        <v>33440</v>
      </c>
    </row>
    <row r="25" spans="1:4" ht="58.5" customHeight="1">
      <c r="A25" s="2" t="s">
        <v>32</v>
      </c>
      <c r="B25" s="3" t="s">
        <v>71</v>
      </c>
      <c r="C25" s="3">
        <v>600</v>
      </c>
      <c r="D25" s="1">
        <f>5280</f>
        <v>5280</v>
      </c>
    </row>
    <row r="26" spans="1:4" ht="79.5" customHeight="1">
      <c r="A26" s="2" t="s">
        <v>174</v>
      </c>
      <c r="B26" s="3" t="s">
        <v>72</v>
      </c>
      <c r="C26" s="3">
        <v>600</v>
      </c>
      <c r="D26" s="43">
        <f>200000+318928+58553+355944.43-100000-244823-66934-30000+30000-20000-11121.43-8000</f>
        <v>482546.99999999994</v>
      </c>
    </row>
    <row r="27" spans="1:4" ht="79.5" customHeight="1">
      <c r="A27" s="5" t="s">
        <v>33</v>
      </c>
      <c r="B27" s="3" t="s">
        <v>73</v>
      </c>
      <c r="C27" s="3">
        <v>200</v>
      </c>
      <c r="D27" s="1">
        <f>128840+17856-25000-45000+15000+30000-28840-1056-45000</f>
        <v>46800</v>
      </c>
    </row>
    <row r="28" spans="1:4" ht="96.75" customHeight="1">
      <c r="A28" s="5" t="s">
        <v>168</v>
      </c>
      <c r="B28" s="3" t="s">
        <v>169</v>
      </c>
      <c r="C28" s="3">
        <v>600</v>
      </c>
      <c r="D28" s="1">
        <f>150000</f>
        <v>150000</v>
      </c>
    </row>
    <row r="29" spans="1:4" ht="77.25" customHeight="1">
      <c r="A29" s="5" t="s">
        <v>280</v>
      </c>
      <c r="B29" s="3" t="s">
        <v>279</v>
      </c>
      <c r="C29" s="3">
        <v>600</v>
      </c>
      <c r="D29" s="1">
        <f>244823</f>
        <v>244823</v>
      </c>
    </row>
    <row r="30" spans="1:4" ht="96.75" customHeight="1">
      <c r="A30" s="5" t="s">
        <v>229</v>
      </c>
      <c r="B30" s="3" t="s">
        <v>228</v>
      </c>
      <c r="C30" s="3">
        <v>200</v>
      </c>
      <c r="D30" s="1">
        <f>25000-2500-16500</f>
        <v>6000</v>
      </c>
    </row>
    <row r="31" spans="1:4" ht="96.75" customHeight="1">
      <c r="A31" s="5" t="s">
        <v>326</v>
      </c>
      <c r="B31" s="3" t="s">
        <v>323</v>
      </c>
      <c r="C31" s="3">
        <v>200</v>
      </c>
      <c r="D31" s="1">
        <f>65000+8000</f>
        <v>73000</v>
      </c>
    </row>
    <row r="32" spans="1:4" ht="135" customHeight="1">
      <c r="A32" s="2" t="s">
        <v>170</v>
      </c>
      <c r="B32" s="3" t="s">
        <v>171</v>
      </c>
      <c r="C32" s="3">
        <v>600</v>
      </c>
      <c r="D32" s="1">
        <f>4700258-391294</f>
        <v>4308964</v>
      </c>
    </row>
    <row r="33" spans="1:7" ht="193.5" customHeight="1">
      <c r="A33" s="5" t="s">
        <v>131</v>
      </c>
      <c r="B33" s="3" t="s">
        <v>64</v>
      </c>
      <c r="C33" s="3">
        <v>600</v>
      </c>
      <c r="D33" s="1">
        <f>1121650.92</f>
        <v>1121650.92</v>
      </c>
      <c r="E33" s="22"/>
      <c r="F33" s="23"/>
      <c r="G33" s="23"/>
    </row>
    <row r="34" spans="1:7" ht="96" customHeight="1">
      <c r="A34" s="5" t="s">
        <v>220</v>
      </c>
      <c r="B34" s="3" t="s">
        <v>219</v>
      </c>
      <c r="C34" s="3">
        <v>600</v>
      </c>
      <c r="D34" s="1">
        <f>684210.53+13000000</f>
        <v>13684210.53</v>
      </c>
      <c r="E34" s="22"/>
      <c r="F34" s="23"/>
      <c r="G34" s="23"/>
    </row>
    <row r="35" spans="1:7" ht="136.5" customHeight="1">
      <c r="A35" s="5" t="s">
        <v>185</v>
      </c>
      <c r="B35" s="3" t="s">
        <v>227</v>
      </c>
      <c r="C35" s="3">
        <v>600</v>
      </c>
      <c r="D35" s="1">
        <f>10526.32+200000</f>
        <v>210526.32</v>
      </c>
      <c r="E35" s="22"/>
      <c r="F35" s="23"/>
      <c r="G35" s="23"/>
    </row>
    <row r="36" spans="1:4" s="16" customFormat="1" ht="75">
      <c r="A36" s="13" t="s">
        <v>95</v>
      </c>
      <c r="B36" s="14" t="s">
        <v>4</v>
      </c>
      <c r="C36" s="14"/>
      <c r="D36" s="15">
        <f>D37+D53+D66+D86+D90+D93+D103+D107</f>
        <v>76113684.41</v>
      </c>
    </row>
    <row r="37" spans="1:4" s="16" customFormat="1" ht="56.25">
      <c r="A37" s="13" t="s">
        <v>35</v>
      </c>
      <c r="B37" s="14" t="s">
        <v>5</v>
      </c>
      <c r="C37" s="14"/>
      <c r="D37" s="15">
        <f>D38</f>
        <v>9898468.9</v>
      </c>
    </row>
    <row r="38" spans="1:4" s="20" customFormat="1" ht="78" customHeight="1">
      <c r="A38" s="21" t="s">
        <v>25</v>
      </c>
      <c r="B38" s="18" t="s">
        <v>6</v>
      </c>
      <c r="C38" s="18"/>
      <c r="D38" s="19">
        <f>SUM(D39:D52)</f>
        <v>9898468.9</v>
      </c>
    </row>
    <row r="39" spans="1:4" ht="75">
      <c r="A39" s="5" t="s">
        <v>36</v>
      </c>
      <c r="B39" s="3" t="s">
        <v>65</v>
      </c>
      <c r="C39" s="3">
        <v>200</v>
      </c>
      <c r="D39" s="1">
        <f>230000+139115.73+108888-108888-186116.65-19100</f>
        <v>163899.08</v>
      </c>
    </row>
    <row r="40" spans="1:4" ht="112.5">
      <c r="A40" s="5" t="s">
        <v>86</v>
      </c>
      <c r="B40" s="3" t="s">
        <v>74</v>
      </c>
      <c r="C40" s="3">
        <v>200</v>
      </c>
      <c r="D40" s="1">
        <f>1200000</f>
        <v>1200000</v>
      </c>
    </row>
    <row r="41" spans="1:4" ht="75">
      <c r="A41" s="5" t="s">
        <v>107</v>
      </c>
      <c r="B41" s="3" t="s">
        <v>108</v>
      </c>
      <c r="C41" s="3">
        <v>200</v>
      </c>
      <c r="D41" s="1">
        <f>100103-14944.64</f>
        <v>85158.36</v>
      </c>
    </row>
    <row r="42" spans="1:4" ht="78" customHeight="1">
      <c r="A42" s="5" t="s">
        <v>152</v>
      </c>
      <c r="B42" s="3" t="s">
        <v>153</v>
      </c>
      <c r="C42" s="3">
        <v>200</v>
      </c>
      <c r="D42" s="1">
        <f>353572-180000+40000+148000+50989-4052+53101+680865.05+6394.88+108888+279380-230900</f>
        <v>1306237.93</v>
      </c>
    </row>
    <row r="43" spans="1:4" ht="96.75" customHeight="1">
      <c r="A43" s="2" t="s">
        <v>188</v>
      </c>
      <c r="B43" s="3" t="s">
        <v>189</v>
      </c>
      <c r="C43" s="3">
        <v>200</v>
      </c>
      <c r="D43" s="1">
        <f>49873.41</f>
        <v>49873.41</v>
      </c>
    </row>
    <row r="44" spans="1:4" ht="114.75" customHeight="1">
      <c r="A44" s="5" t="s">
        <v>175</v>
      </c>
      <c r="B44" s="3" t="s">
        <v>154</v>
      </c>
      <c r="C44" s="3">
        <v>200</v>
      </c>
      <c r="D44" s="1">
        <f>2046140.36</f>
        <v>2046140.36</v>
      </c>
    </row>
    <row r="45" spans="1:4" ht="135" customHeight="1">
      <c r="A45" s="5" t="s">
        <v>193</v>
      </c>
      <c r="B45" s="3" t="s">
        <v>192</v>
      </c>
      <c r="C45" s="3">
        <v>200</v>
      </c>
      <c r="D45" s="1">
        <f>1112337.02</f>
        <v>1112337.02</v>
      </c>
    </row>
    <row r="46" spans="1:4" ht="194.25" customHeight="1">
      <c r="A46" s="2" t="s">
        <v>191</v>
      </c>
      <c r="B46" s="3" t="s">
        <v>190</v>
      </c>
      <c r="C46" s="3">
        <v>200</v>
      </c>
      <c r="D46" s="1">
        <f>30000</f>
        <v>30000</v>
      </c>
    </row>
    <row r="47" spans="1:4" ht="77.25" customHeight="1">
      <c r="A47" s="2" t="s">
        <v>212</v>
      </c>
      <c r="B47" s="3" t="s">
        <v>200</v>
      </c>
      <c r="C47" s="3">
        <v>200</v>
      </c>
      <c r="D47" s="1">
        <f>1218145-50721.73</f>
        <v>1167423.27</v>
      </c>
    </row>
    <row r="48" spans="1:4" ht="146.25" customHeight="1">
      <c r="A48" s="2" t="s">
        <v>246</v>
      </c>
      <c r="B48" s="4" t="s">
        <v>245</v>
      </c>
      <c r="C48" s="3">
        <v>200</v>
      </c>
      <c r="D48" s="1">
        <f>454266.45+395733.55</f>
        <v>850000</v>
      </c>
    </row>
    <row r="49" spans="1:4" ht="178.5" customHeight="1">
      <c r="A49" s="2" t="s">
        <v>289</v>
      </c>
      <c r="B49" s="4" t="s">
        <v>287</v>
      </c>
      <c r="C49" s="3">
        <v>200</v>
      </c>
      <c r="D49" s="1">
        <f>156150</f>
        <v>156150</v>
      </c>
    </row>
    <row r="50" spans="1:4" ht="134.25" customHeight="1">
      <c r="A50" s="2" t="s">
        <v>290</v>
      </c>
      <c r="B50" s="4" t="s">
        <v>288</v>
      </c>
      <c r="C50" s="3">
        <v>200</v>
      </c>
      <c r="D50" s="1">
        <f>63725</f>
        <v>63725</v>
      </c>
    </row>
    <row r="51" spans="1:4" ht="120" customHeight="1">
      <c r="A51" s="2" t="s">
        <v>213</v>
      </c>
      <c r="B51" s="3" t="s">
        <v>155</v>
      </c>
      <c r="C51" s="3">
        <v>400</v>
      </c>
      <c r="D51" s="1">
        <f>1099598.52+1000000-292333-242036.44-148000-135821.26+135821.26</f>
        <v>1417229.08</v>
      </c>
    </row>
    <row r="52" spans="1:4" ht="270.75" customHeight="1">
      <c r="A52" s="2" t="s">
        <v>176</v>
      </c>
      <c r="B52" s="3" t="s">
        <v>177</v>
      </c>
      <c r="C52" s="3">
        <v>800</v>
      </c>
      <c r="D52" s="1">
        <f>200000+50295.39</f>
        <v>250295.39</v>
      </c>
    </row>
    <row r="53" spans="1:4" s="20" customFormat="1" ht="37.5">
      <c r="A53" s="13" t="s">
        <v>37</v>
      </c>
      <c r="B53" s="14" t="s">
        <v>7</v>
      </c>
      <c r="C53" s="18"/>
      <c r="D53" s="15">
        <f>D54</f>
        <v>15845991.01</v>
      </c>
    </row>
    <row r="54" spans="1:4" s="20" customFormat="1" ht="56.25">
      <c r="A54" s="21" t="s">
        <v>34</v>
      </c>
      <c r="B54" s="18" t="s">
        <v>8</v>
      </c>
      <c r="C54" s="18"/>
      <c r="D54" s="19">
        <f>SUM(D55:D65)</f>
        <v>15845991.01</v>
      </c>
    </row>
    <row r="55" spans="1:7" ht="114.75" customHeight="1">
      <c r="A55" s="5" t="s">
        <v>92</v>
      </c>
      <c r="B55" s="3" t="s">
        <v>66</v>
      </c>
      <c r="C55" s="3">
        <v>200</v>
      </c>
      <c r="D55" s="1">
        <f>2993648.79+140147.05+120930+38000+243000+120000+120000-16672-59800-64630.2+168163+71404.91</f>
        <v>3874191.55</v>
      </c>
      <c r="E55" s="22"/>
      <c r="F55" s="23"/>
      <c r="G55" s="23"/>
    </row>
    <row r="56" spans="1:4" ht="96.75" customHeight="1">
      <c r="A56" s="5" t="s">
        <v>132</v>
      </c>
      <c r="B56" s="3" t="s">
        <v>75</v>
      </c>
      <c r="C56" s="3">
        <v>200</v>
      </c>
      <c r="D56" s="1">
        <f>1829257+110000+30000-30000</f>
        <v>1939257</v>
      </c>
    </row>
    <row r="57" spans="1:7" ht="97.5" customHeight="1">
      <c r="A57" s="5" t="s">
        <v>133</v>
      </c>
      <c r="B57" s="3" t="s">
        <v>76</v>
      </c>
      <c r="C57" s="3">
        <v>200</v>
      </c>
      <c r="D57" s="1">
        <f>6300000+494535.67-291142+60000+102000+38000-60000-110000-509989.11-183758.54+956916+60214-60214+368256.47+611743.53+32000-81404.91</f>
        <v>7727157.109999999</v>
      </c>
      <c r="E57" s="22"/>
      <c r="F57" s="23"/>
      <c r="G57" s="23"/>
    </row>
    <row r="58" spans="1:7" ht="61.5" customHeight="1">
      <c r="A58" s="5" t="s">
        <v>221</v>
      </c>
      <c r="B58" s="3" t="s">
        <v>76</v>
      </c>
      <c r="C58" s="3">
        <v>800</v>
      </c>
      <c r="D58" s="1">
        <f>3758.54+15000+10000</f>
        <v>28758.54</v>
      </c>
      <c r="E58" s="22"/>
      <c r="F58" s="23"/>
      <c r="G58" s="23"/>
    </row>
    <row r="59" spans="1:4" ht="63" customHeight="1">
      <c r="A59" s="5" t="s">
        <v>134</v>
      </c>
      <c r="B59" s="3" t="s">
        <v>77</v>
      </c>
      <c r="C59" s="3">
        <v>200</v>
      </c>
      <c r="D59" s="1">
        <f>142242.06+183757.94+120930-120930+10000+263000+51000-63000+8000+87440+59800-925+180000+12177.43</f>
        <v>933492.43</v>
      </c>
    </row>
    <row r="60" spans="1:7" ht="77.25" customHeight="1">
      <c r="A60" s="5" t="s">
        <v>158</v>
      </c>
      <c r="B60" s="3" t="s">
        <v>159</v>
      </c>
      <c r="C60" s="3">
        <v>200</v>
      </c>
      <c r="D60" s="1">
        <f>525000-13684.21-102000-160000-10000+110000-1315.79+130000+70214</f>
        <v>548214</v>
      </c>
      <c r="E60" s="22"/>
      <c r="F60" s="23"/>
      <c r="G60" s="23"/>
    </row>
    <row r="61" spans="1:7" ht="136.5" customHeight="1">
      <c r="A61" s="5" t="s">
        <v>276</v>
      </c>
      <c r="B61" s="3" t="s">
        <v>275</v>
      </c>
      <c r="C61" s="3">
        <v>200</v>
      </c>
      <c r="D61" s="1">
        <f>40000+40000+100000</f>
        <v>180000</v>
      </c>
      <c r="E61" s="22"/>
      <c r="F61" s="23"/>
      <c r="G61" s="23"/>
    </row>
    <row r="62" spans="1:7" ht="81.75" customHeight="1">
      <c r="A62" s="2" t="s">
        <v>201</v>
      </c>
      <c r="B62" s="3" t="s">
        <v>194</v>
      </c>
      <c r="C62" s="3">
        <v>200</v>
      </c>
      <c r="D62" s="1">
        <f>228000-48000</f>
        <v>180000</v>
      </c>
      <c r="E62" s="22"/>
      <c r="F62" s="23"/>
      <c r="G62" s="23"/>
    </row>
    <row r="63" spans="1:7" ht="81.75" customHeight="1">
      <c r="A63" s="2" t="s">
        <v>255</v>
      </c>
      <c r="B63" s="3" t="s">
        <v>254</v>
      </c>
      <c r="C63" s="3">
        <v>200</v>
      </c>
      <c r="D63" s="1">
        <f>248712-13271.62</f>
        <v>235440.38</v>
      </c>
      <c r="E63" s="22"/>
      <c r="F63" s="23"/>
      <c r="G63" s="23"/>
    </row>
    <row r="64" spans="1:7" ht="100.5" customHeight="1">
      <c r="A64" s="2" t="s">
        <v>284</v>
      </c>
      <c r="B64" s="3" t="s">
        <v>277</v>
      </c>
      <c r="C64" s="3">
        <v>200</v>
      </c>
      <c r="D64" s="1">
        <f>193000</f>
        <v>193000</v>
      </c>
      <c r="E64" s="22"/>
      <c r="F64" s="23"/>
      <c r="G64" s="23"/>
    </row>
    <row r="65" spans="1:7" ht="162" customHeight="1">
      <c r="A65" s="2" t="s">
        <v>292</v>
      </c>
      <c r="B65" s="3" t="s">
        <v>291</v>
      </c>
      <c r="C65" s="3">
        <v>200</v>
      </c>
      <c r="D65" s="1">
        <f>6480</f>
        <v>6480</v>
      </c>
      <c r="E65" s="22"/>
      <c r="F65" s="23"/>
      <c r="G65" s="23"/>
    </row>
    <row r="66" spans="1:4" ht="56.25">
      <c r="A66" s="13" t="s">
        <v>87</v>
      </c>
      <c r="B66" s="14" t="s">
        <v>9</v>
      </c>
      <c r="C66" s="3"/>
      <c r="D66" s="15">
        <f>D67+D84</f>
        <v>42935613.85999999</v>
      </c>
    </row>
    <row r="67" spans="1:4" s="24" customFormat="1" ht="56.25">
      <c r="A67" s="21" t="s">
        <v>26</v>
      </c>
      <c r="B67" s="18" t="s">
        <v>10</v>
      </c>
      <c r="C67" s="18"/>
      <c r="D67" s="19">
        <f>SUM(D68:D83)</f>
        <v>39953539.309999995</v>
      </c>
    </row>
    <row r="68" spans="1:4" ht="56.25">
      <c r="A68" s="5" t="s">
        <v>38</v>
      </c>
      <c r="B68" s="3" t="s">
        <v>78</v>
      </c>
      <c r="C68" s="3">
        <v>200</v>
      </c>
      <c r="D68" s="1">
        <f>14409682.2+291142+28840</f>
        <v>14729664.2</v>
      </c>
    </row>
    <row r="69" spans="1:7" ht="138" customHeight="1">
      <c r="A69" s="5" t="s">
        <v>39</v>
      </c>
      <c r="B69" s="3" t="s">
        <v>79</v>
      </c>
      <c r="C69" s="3">
        <v>200</v>
      </c>
      <c r="D69" s="1">
        <f>575372.76+169989.11-0.01-324440+49000-948.88</f>
        <v>468972.98</v>
      </c>
      <c r="E69" s="25"/>
      <c r="F69" s="23"/>
      <c r="G69" s="23"/>
    </row>
    <row r="70" spans="1:7" ht="133.5" customHeight="1">
      <c r="A70" s="2" t="s">
        <v>150</v>
      </c>
      <c r="B70" s="3" t="s">
        <v>151</v>
      </c>
      <c r="C70" s="3">
        <v>200</v>
      </c>
      <c r="D70" s="1">
        <f>342600+48000+49400+287400+440000-495300</f>
        <v>672100</v>
      </c>
      <c r="E70" s="25"/>
      <c r="F70" s="23"/>
      <c r="G70" s="23"/>
    </row>
    <row r="71" spans="1:7" ht="97.5" customHeight="1">
      <c r="A71" s="5" t="s">
        <v>148</v>
      </c>
      <c r="B71" s="3" t="s">
        <v>149</v>
      </c>
      <c r="C71" s="3">
        <v>200</v>
      </c>
      <c r="D71" s="1">
        <f>1209150.55-429000-992.15</f>
        <v>779158.4</v>
      </c>
      <c r="E71" s="25"/>
      <c r="F71" s="23"/>
      <c r="G71" s="23"/>
    </row>
    <row r="72" spans="1:7" ht="108" customHeight="1">
      <c r="A72" s="5" t="s">
        <v>304</v>
      </c>
      <c r="B72" s="3" t="s">
        <v>303</v>
      </c>
      <c r="C72" s="3">
        <v>200</v>
      </c>
      <c r="D72" s="1">
        <v>250000</v>
      </c>
      <c r="E72" s="25"/>
      <c r="F72" s="23"/>
      <c r="G72" s="23"/>
    </row>
    <row r="73" spans="1:7" ht="96.75" customHeight="1">
      <c r="A73" s="5" t="s">
        <v>178</v>
      </c>
      <c r="B73" s="3" t="s">
        <v>179</v>
      </c>
      <c r="C73" s="3">
        <v>200</v>
      </c>
      <c r="D73" s="1">
        <f>738934.26-300000-138000-934.26</f>
        <v>300000</v>
      </c>
      <c r="E73" s="25"/>
      <c r="F73" s="23"/>
      <c r="G73" s="23"/>
    </row>
    <row r="74" spans="1:7" ht="96.75" customHeight="1">
      <c r="A74" s="5" t="s">
        <v>195</v>
      </c>
      <c r="B74" s="3" t="s">
        <v>196</v>
      </c>
      <c r="C74" s="3">
        <v>200</v>
      </c>
      <c r="D74" s="1">
        <f>300000+60000+47000.05-54328-5672.05</f>
        <v>347000</v>
      </c>
      <c r="E74" s="25"/>
      <c r="F74" s="23"/>
      <c r="G74" s="23"/>
    </row>
    <row r="75" spans="1:7" ht="173.25" customHeight="1">
      <c r="A75" s="2" t="s">
        <v>180</v>
      </c>
      <c r="B75" s="3" t="s">
        <v>181</v>
      </c>
      <c r="C75" s="3">
        <v>200</v>
      </c>
      <c r="D75" s="1">
        <f>98896.7-60000-38000+60000-896.7</f>
        <v>60000</v>
      </c>
      <c r="E75" s="25"/>
      <c r="F75" s="23"/>
      <c r="G75" s="23"/>
    </row>
    <row r="76" spans="1:7" ht="137.25" customHeight="1">
      <c r="A76" s="2" t="s">
        <v>257</v>
      </c>
      <c r="B76" s="3" t="s">
        <v>256</v>
      </c>
      <c r="C76" s="3">
        <v>200</v>
      </c>
      <c r="D76" s="1">
        <f>343500</f>
        <v>343500</v>
      </c>
      <c r="E76" s="25"/>
      <c r="F76" s="23"/>
      <c r="G76" s="23"/>
    </row>
    <row r="77" spans="1:7" ht="98.25" customHeight="1">
      <c r="A77" s="2" t="s">
        <v>272</v>
      </c>
      <c r="B77" s="3" t="s">
        <v>271</v>
      </c>
      <c r="C77" s="3">
        <v>200</v>
      </c>
      <c r="D77" s="1">
        <f>7000+1000-705.86</f>
        <v>7294.14</v>
      </c>
      <c r="E77" s="25"/>
      <c r="F77" s="23"/>
      <c r="G77" s="23"/>
    </row>
    <row r="78" spans="1:7" ht="98.25" customHeight="1">
      <c r="A78" s="2" t="s">
        <v>274</v>
      </c>
      <c r="B78" s="3" t="s">
        <v>273</v>
      </c>
      <c r="C78" s="3">
        <v>200</v>
      </c>
      <c r="D78" s="1">
        <f>300000</f>
        <v>300000</v>
      </c>
      <c r="E78" s="25"/>
      <c r="F78" s="23"/>
      <c r="G78" s="23"/>
    </row>
    <row r="79" spans="1:7" ht="113.25" customHeight="1">
      <c r="A79" s="2" t="s">
        <v>294</v>
      </c>
      <c r="B79" s="3" t="s">
        <v>293</v>
      </c>
      <c r="C79" s="3">
        <v>200</v>
      </c>
      <c r="D79" s="1">
        <f>400000-10456.3</f>
        <v>389543.7</v>
      </c>
      <c r="E79" s="25"/>
      <c r="F79" s="23"/>
      <c r="G79" s="23"/>
    </row>
    <row r="80" spans="1:7" ht="155.25" customHeight="1">
      <c r="A80" s="2" t="s">
        <v>306</v>
      </c>
      <c r="B80" s="3" t="s">
        <v>305</v>
      </c>
      <c r="C80" s="3">
        <v>200</v>
      </c>
      <c r="D80" s="1">
        <f>110681.25-33939.25</f>
        <v>76742</v>
      </c>
      <c r="E80" s="25"/>
      <c r="F80" s="23"/>
      <c r="G80" s="23"/>
    </row>
    <row r="81" spans="1:7" ht="156" customHeight="1">
      <c r="A81" s="2" t="s">
        <v>215</v>
      </c>
      <c r="B81" s="3" t="s">
        <v>214</v>
      </c>
      <c r="C81" s="3">
        <v>200</v>
      </c>
      <c r="D81" s="1">
        <f>179909.41+0.01+3418278.87</f>
        <v>3598188.29</v>
      </c>
      <c r="E81" s="25"/>
      <c r="F81" s="23"/>
      <c r="G81" s="23"/>
    </row>
    <row r="82" spans="1:7" ht="138" customHeight="1">
      <c r="A82" s="2" t="s">
        <v>269</v>
      </c>
      <c r="B82" s="3" t="s">
        <v>267</v>
      </c>
      <c r="C82" s="3">
        <v>200</v>
      </c>
      <c r="D82" s="1">
        <f>7951953.6</f>
        <v>7951953.6</v>
      </c>
      <c r="E82" s="25"/>
      <c r="F82" s="23"/>
      <c r="G82" s="23"/>
    </row>
    <row r="83" spans="1:7" ht="135.75" customHeight="1">
      <c r="A83" s="2" t="s">
        <v>270</v>
      </c>
      <c r="B83" s="3" t="s">
        <v>268</v>
      </c>
      <c r="C83" s="3">
        <v>200</v>
      </c>
      <c r="D83" s="1">
        <f>9679422</f>
        <v>9679422</v>
      </c>
      <c r="E83" s="25"/>
      <c r="F83" s="23"/>
      <c r="G83" s="23"/>
    </row>
    <row r="84" spans="1:7" s="20" customFormat="1" ht="60" customHeight="1">
      <c r="A84" s="21" t="s">
        <v>125</v>
      </c>
      <c r="B84" s="18" t="s">
        <v>126</v>
      </c>
      <c r="C84" s="18"/>
      <c r="D84" s="19">
        <f>D85</f>
        <v>2982074.5500000003</v>
      </c>
      <c r="E84" s="26"/>
      <c r="F84" s="27"/>
      <c r="G84" s="27"/>
    </row>
    <row r="85" spans="1:7" ht="118.5" customHeight="1">
      <c r="A85" s="5" t="s">
        <v>127</v>
      </c>
      <c r="B85" s="3" t="s">
        <v>128</v>
      </c>
      <c r="C85" s="3">
        <v>200</v>
      </c>
      <c r="D85" s="1">
        <f>2000000+824058.19-58.86+158075.22</f>
        <v>2982074.5500000003</v>
      </c>
      <c r="E85" s="25"/>
      <c r="F85" s="23"/>
      <c r="G85" s="23"/>
    </row>
    <row r="86" spans="1:4" ht="56.25">
      <c r="A86" s="13" t="s">
        <v>88</v>
      </c>
      <c r="B86" s="14" t="s">
        <v>22</v>
      </c>
      <c r="C86" s="14"/>
      <c r="D86" s="15">
        <f>D87</f>
        <v>1175470.7800000003</v>
      </c>
    </row>
    <row r="87" spans="1:4" s="20" customFormat="1" ht="37.5">
      <c r="A87" s="21" t="s">
        <v>28</v>
      </c>
      <c r="B87" s="18" t="s">
        <v>23</v>
      </c>
      <c r="C87" s="18"/>
      <c r="D87" s="19">
        <f>SUM(D88:D89)</f>
        <v>1175470.7800000003</v>
      </c>
    </row>
    <row r="88" spans="1:4" ht="75">
      <c r="A88" s="5" t="s">
        <v>40</v>
      </c>
      <c r="B88" s="3" t="s">
        <v>80</v>
      </c>
      <c r="C88" s="3">
        <v>200</v>
      </c>
      <c r="D88" s="1">
        <f>389044-61200+354000-8000-347214-26000-33000+160000-734-4770.54</f>
        <v>422125.46</v>
      </c>
    </row>
    <row r="89" spans="1:4" ht="80.25" customHeight="1">
      <c r="A89" s="5" t="s">
        <v>209</v>
      </c>
      <c r="B89" s="3" t="s">
        <v>208</v>
      </c>
      <c r="C89" s="3">
        <v>200</v>
      </c>
      <c r="D89" s="1">
        <f>160000+947861.16-354000-515.84</f>
        <v>753345.3200000002</v>
      </c>
    </row>
    <row r="90" spans="1:4" ht="115.5" customHeight="1">
      <c r="A90" s="13" t="s">
        <v>136</v>
      </c>
      <c r="B90" s="14" t="s">
        <v>41</v>
      </c>
      <c r="C90" s="14"/>
      <c r="D90" s="15">
        <f>D91</f>
        <v>2300000</v>
      </c>
    </row>
    <row r="91" spans="1:4" s="20" customFormat="1" ht="59.25" customHeight="1">
      <c r="A91" s="21" t="s">
        <v>43</v>
      </c>
      <c r="B91" s="18" t="s">
        <v>42</v>
      </c>
      <c r="C91" s="18"/>
      <c r="D91" s="19">
        <f>D92</f>
        <v>2300000</v>
      </c>
    </row>
    <row r="92" spans="1:4" ht="115.5" customHeight="1">
      <c r="A92" s="2" t="s">
        <v>135</v>
      </c>
      <c r="B92" s="3" t="s">
        <v>69</v>
      </c>
      <c r="C92" s="3">
        <v>800</v>
      </c>
      <c r="D92" s="1">
        <f>2400000-100000</f>
        <v>2300000</v>
      </c>
    </row>
    <row r="93" spans="1:4" s="24" customFormat="1" ht="56.25">
      <c r="A93" s="13" t="s">
        <v>52</v>
      </c>
      <c r="B93" s="14" t="s">
        <v>53</v>
      </c>
      <c r="C93" s="3"/>
      <c r="D93" s="15">
        <f>D94+D98+D100</f>
        <v>302231</v>
      </c>
    </row>
    <row r="94" spans="1:4" s="24" customFormat="1" ht="40.5" customHeight="1">
      <c r="A94" s="21" t="s">
        <v>54</v>
      </c>
      <c r="B94" s="18" t="s">
        <v>50</v>
      </c>
      <c r="C94" s="18"/>
      <c r="D94" s="19">
        <f>SUM(D95:D97)</f>
        <v>106000</v>
      </c>
    </row>
    <row r="95" spans="1:4" s="16" customFormat="1" ht="57.75" customHeight="1">
      <c r="A95" s="5" t="s">
        <v>109</v>
      </c>
      <c r="B95" s="3" t="s">
        <v>110</v>
      </c>
      <c r="C95" s="3">
        <v>200</v>
      </c>
      <c r="D95" s="1">
        <f>25000</f>
        <v>25000</v>
      </c>
    </row>
    <row r="96" spans="1:4" ht="96.75" customHeight="1">
      <c r="A96" s="5" t="s">
        <v>114</v>
      </c>
      <c r="B96" s="3" t="s">
        <v>81</v>
      </c>
      <c r="C96" s="3">
        <v>200</v>
      </c>
      <c r="D96" s="1">
        <f>72000</f>
        <v>72000</v>
      </c>
    </row>
    <row r="97" spans="1:4" ht="98.25" customHeight="1">
      <c r="A97" s="5" t="s">
        <v>55</v>
      </c>
      <c r="B97" s="3" t="s">
        <v>82</v>
      </c>
      <c r="C97" s="3">
        <v>200</v>
      </c>
      <c r="D97" s="1">
        <f>9000</f>
        <v>9000</v>
      </c>
    </row>
    <row r="98" spans="1:4" s="20" customFormat="1" ht="42" customHeight="1">
      <c r="A98" s="21" t="s">
        <v>27</v>
      </c>
      <c r="B98" s="18" t="s">
        <v>59</v>
      </c>
      <c r="C98" s="3"/>
      <c r="D98" s="19">
        <f>D99</f>
        <v>27900</v>
      </c>
    </row>
    <row r="99" spans="1:4" ht="96.75" customHeight="1">
      <c r="A99" s="5" t="s">
        <v>51</v>
      </c>
      <c r="B99" s="3" t="s">
        <v>83</v>
      </c>
      <c r="C99" s="3">
        <v>200</v>
      </c>
      <c r="D99" s="1">
        <f>27900</f>
        <v>27900</v>
      </c>
    </row>
    <row r="100" spans="1:4" s="20" customFormat="1" ht="75">
      <c r="A100" s="21" t="s">
        <v>235</v>
      </c>
      <c r="B100" s="18" t="s">
        <v>111</v>
      </c>
      <c r="C100" s="18"/>
      <c r="D100" s="19">
        <f>SUM(D101:D102)</f>
        <v>168331</v>
      </c>
    </row>
    <row r="101" spans="1:4" ht="117.75" customHeight="1">
      <c r="A101" s="5" t="s">
        <v>112</v>
      </c>
      <c r="B101" s="3" t="s">
        <v>113</v>
      </c>
      <c r="C101" s="3">
        <v>200</v>
      </c>
      <c r="D101" s="1">
        <f>60000</f>
        <v>60000</v>
      </c>
    </row>
    <row r="102" spans="1:4" ht="78.75" customHeight="1">
      <c r="A102" s="5" t="s">
        <v>237</v>
      </c>
      <c r="B102" s="3" t="s">
        <v>236</v>
      </c>
      <c r="C102" s="3">
        <v>200</v>
      </c>
      <c r="D102" s="1">
        <f>88000+20331</f>
        <v>108331</v>
      </c>
    </row>
    <row r="103" spans="1:4" s="24" customFormat="1" ht="115.5" customHeight="1">
      <c r="A103" s="13" t="s">
        <v>99</v>
      </c>
      <c r="B103" s="14" t="s">
        <v>100</v>
      </c>
      <c r="C103" s="14"/>
      <c r="D103" s="15">
        <f>D104</f>
        <v>3421900.4</v>
      </c>
    </row>
    <row r="104" spans="1:4" s="20" customFormat="1" ht="75">
      <c r="A104" s="21" t="s">
        <v>101</v>
      </c>
      <c r="B104" s="18" t="s">
        <v>102</v>
      </c>
      <c r="C104" s="18"/>
      <c r="D104" s="19">
        <f>SUM(D105:D106)</f>
        <v>3421900.4</v>
      </c>
    </row>
    <row r="105" spans="1:4" ht="132.75" customHeight="1">
      <c r="A105" s="2" t="s">
        <v>103</v>
      </c>
      <c r="B105" s="3" t="s">
        <v>104</v>
      </c>
      <c r="C105" s="3">
        <v>100</v>
      </c>
      <c r="D105" s="1">
        <f>3315406.3</f>
        <v>3315406.3</v>
      </c>
    </row>
    <row r="106" spans="1:4" ht="96" customHeight="1">
      <c r="A106" s="5" t="s">
        <v>105</v>
      </c>
      <c r="B106" s="3" t="s">
        <v>104</v>
      </c>
      <c r="C106" s="3">
        <v>200</v>
      </c>
      <c r="D106" s="1">
        <f>135278-1783.9-15000-12000</f>
        <v>106494.1</v>
      </c>
    </row>
    <row r="107" spans="1:4" s="16" customFormat="1" ht="58.5" customHeight="1">
      <c r="A107" s="13" t="s">
        <v>263</v>
      </c>
      <c r="B107" s="14" t="s">
        <v>258</v>
      </c>
      <c r="C107" s="14"/>
      <c r="D107" s="15">
        <f>D108</f>
        <v>234008.46</v>
      </c>
    </row>
    <row r="108" spans="1:4" ht="59.25" customHeight="1">
      <c r="A108" s="21" t="s">
        <v>260</v>
      </c>
      <c r="B108" s="18" t="s">
        <v>259</v>
      </c>
      <c r="C108" s="3"/>
      <c r="D108" s="1">
        <f>D109</f>
        <v>234008.46</v>
      </c>
    </row>
    <row r="109" spans="1:4" ht="77.25" customHeight="1">
      <c r="A109" s="5" t="s">
        <v>261</v>
      </c>
      <c r="B109" s="3" t="s">
        <v>262</v>
      </c>
      <c r="C109" s="3">
        <v>800</v>
      </c>
      <c r="D109" s="1">
        <f>100000+134008.46</f>
        <v>234008.46</v>
      </c>
    </row>
    <row r="110" spans="1:4" ht="37.5">
      <c r="A110" s="13" t="s">
        <v>96</v>
      </c>
      <c r="B110" s="14" t="s">
        <v>11</v>
      </c>
      <c r="C110" s="3"/>
      <c r="D110" s="15">
        <f>D111+D115</f>
        <v>462606.96</v>
      </c>
    </row>
    <row r="111" spans="1:4" ht="96.75" customHeight="1">
      <c r="A111" s="13" t="s">
        <v>98</v>
      </c>
      <c r="B111" s="14" t="s">
        <v>12</v>
      </c>
      <c r="C111" s="3"/>
      <c r="D111" s="15">
        <f>D112</f>
        <v>233500</v>
      </c>
    </row>
    <row r="112" spans="1:4" s="24" customFormat="1" ht="56.25">
      <c r="A112" s="21" t="s">
        <v>60</v>
      </c>
      <c r="B112" s="18" t="s">
        <v>13</v>
      </c>
      <c r="C112" s="18"/>
      <c r="D112" s="19">
        <f>SUM(D113:D114)</f>
        <v>233500</v>
      </c>
    </row>
    <row r="113" spans="1:4" ht="115.5" customHeight="1">
      <c r="A113" s="5" t="s">
        <v>186</v>
      </c>
      <c r="B113" s="3" t="s">
        <v>182</v>
      </c>
      <c r="C113" s="3">
        <v>200</v>
      </c>
      <c r="D113" s="1">
        <f>150000</f>
        <v>150000</v>
      </c>
    </row>
    <row r="114" spans="1:4" ht="98.25" customHeight="1">
      <c r="A114" s="5" t="s">
        <v>318</v>
      </c>
      <c r="B114" s="3" t="s">
        <v>317</v>
      </c>
      <c r="C114" s="3">
        <v>200</v>
      </c>
      <c r="D114" s="1">
        <f>83500</f>
        <v>83500</v>
      </c>
    </row>
    <row r="115" spans="1:4" ht="76.5" customHeight="1">
      <c r="A115" s="13" t="s">
        <v>56</v>
      </c>
      <c r="B115" s="14" t="s">
        <v>14</v>
      </c>
      <c r="C115" s="3"/>
      <c r="D115" s="15">
        <f>D116</f>
        <v>229106.96000000002</v>
      </c>
    </row>
    <row r="116" spans="1:4" s="24" customFormat="1" ht="56.25">
      <c r="A116" s="21" t="s">
        <v>61</v>
      </c>
      <c r="B116" s="18" t="s">
        <v>15</v>
      </c>
      <c r="C116" s="18"/>
      <c r="D116" s="19">
        <f>SUM(D117:D118)</f>
        <v>229106.96000000002</v>
      </c>
    </row>
    <row r="117" spans="1:4" ht="96" customHeight="1">
      <c r="A117" s="5" t="s">
        <v>57</v>
      </c>
      <c r="B117" s="3" t="s">
        <v>84</v>
      </c>
      <c r="C117" s="3">
        <v>200</v>
      </c>
      <c r="D117" s="1">
        <f>211500-44750</f>
        <v>166750</v>
      </c>
    </row>
    <row r="118" spans="1:4" ht="56.25">
      <c r="A118" s="5" t="s">
        <v>58</v>
      </c>
      <c r="B118" s="3" t="s">
        <v>85</v>
      </c>
      <c r="C118" s="3">
        <v>800</v>
      </c>
      <c r="D118" s="1">
        <f>400000-23684.21-103529.15-53921-20000-100000-16508.68-20000</f>
        <v>62356.96000000002</v>
      </c>
    </row>
    <row r="119" spans="1:4" ht="75">
      <c r="A119" s="13" t="s">
        <v>97</v>
      </c>
      <c r="B119" s="14" t="s">
        <v>44</v>
      </c>
      <c r="C119" s="3"/>
      <c r="D119" s="15">
        <f>D120</f>
        <v>1242115.06</v>
      </c>
    </row>
    <row r="120" spans="1:4" ht="37.5">
      <c r="A120" s="13" t="s">
        <v>45</v>
      </c>
      <c r="B120" s="14" t="s">
        <v>46</v>
      </c>
      <c r="C120" s="3"/>
      <c r="D120" s="15">
        <f>D121</f>
        <v>1242115.06</v>
      </c>
    </row>
    <row r="121" spans="1:4" s="20" customFormat="1" ht="37.5">
      <c r="A121" s="21" t="s">
        <v>47</v>
      </c>
      <c r="B121" s="18" t="s">
        <v>48</v>
      </c>
      <c r="C121" s="18"/>
      <c r="D121" s="19">
        <f>SUM(D122:D122)</f>
        <v>1242115.06</v>
      </c>
    </row>
    <row r="122" spans="1:4" ht="59.25" customHeight="1">
      <c r="A122" s="5" t="s">
        <v>49</v>
      </c>
      <c r="B122" s="3" t="s">
        <v>106</v>
      </c>
      <c r="C122" s="3">
        <v>300</v>
      </c>
      <c r="D122" s="1">
        <f>1041212.27+773472.28-773472.28+773472.28-358888+100000-550000-188000-41474.64+465793.15</f>
        <v>1242115.06</v>
      </c>
    </row>
    <row r="123" spans="1:4" s="29" customFormat="1" ht="78.75" customHeight="1">
      <c r="A123" s="28" t="s">
        <v>160</v>
      </c>
      <c r="B123" s="14" t="s">
        <v>161</v>
      </c>
      <c r="C123" s="14"/>
      <c r="D123" s="15">
        <f>D124</f>
        <v>94286107.17999999</v>
      </c>
    </row>
    <row r="124" spans="1:4" s="16" customFormat="1" ht="42.75" customHeight="1">
      <c r="A124" s="28" t="s">
        <v>162</v>
      </c>
      <c r="B124" s="14" t="s">
        <v>163</v>
      </c>
      <c r="C124" s="14"/>
      <c r="D124" s="15">
        <f>D125+D133</f>
        <v>94286107.17999999</v>
      </c>
    </row>
    <row r="125" spans="1:4" s="20" customFormat="1" ht="42.75" customHeight="1">
      <c r="A125" s="30" t="s">
        <v>204</v>
      </c>
      <c r="B125" s="3" t="s">
        <v>205</v>
      </c>
      <c r="C125" s="18"/>
      <c r="D125" s="19">
        <f>SUM(D126:D132)</f>
        <v>4355979.66</v>
      </c>
    </row>
    <row r="126" spans="1:4" ht="81.75" customHeight="1">
      <c r="A126" s="31" t="s">
        <v>203</v>
      </c>
      <c r="B126" s="3" t="s">
        <v>202</v>
      </c>
      <c r="C126" s="3">
        <v>200</v>
      </c>
      <c r="D126" s="1">
        <f>3699917-247120-317616-265693</f>
        <v>2869488</v>
      </c>
    </row>
    <row r="127" spans="1:4" ht="101.25" customHeight="1">
      <c r="A127" s="31" t="s">
        <v>217</v>
      </c>
      <c r="B127" s="3" t="s">
        <v>216</v>
      </c>
      <c r="C127" s="3">
        <v>200</v>
      </c>
      <c r="D127" s="1">
        <f>250000</f>
        <v>250000</v>
      </c>
    </row>
    <row r="128" spans="1:4" ht="101.25" customHeight="1">
      <c r="A128" s="31" t="s">
        <v>250</v>
      </c>
      <c r="B128" s="32" t="s">
        <v>249</v>
      </c>
      <c r="C128" s="3">
        <v>200</v>
      </c>
      <c r="D128" s="1">
        <f>200000+35000</f>
        <v>235000</v>
      </c>
    </row>
    <row r="129" spans="1:4" ht="101.25" customHeight="1">
      <c r="A129" s="31" t="s">
        <v>252</v>
      </c>
      <c r="B129" s="32" t="s">
        <v>251</v>
      </c>
      <c r="C129" s="3">
        <v>200</v>
      </c>
      <c r="D129" s="1">
        <f>50915.98</f>
        <v>50915.98</v>
      </c>
    </row>
    <row r="130" spans="1:4" ht="138" customHeight="1">
      <c r="A130" s="5" t="s">
        <v>320</v>
      </c>
      <c r="B130" s="42" t="s">
        <v>319</v>
      </c>
      <c r="C130" s="3">
        <v>200</v>
      </c>
      <c r="D130" s="1">
        <f>165000</f>
        <v>165000</v>
      </c>
    </row>
    <row r="131" spans="1:4" ht="96" customHeight="1">
      <c r="A131" s="5" t="s">
        <v>325</v>
      </c>
      <c r="B131" s="42" t="s">
        <v>324</v>
      </c>
      <c r="C131" s="3">
        <v>200</v>
      </c>
      <c r="D131" s="1">
        <v>16508.68</v>
      </c>
    </row>
    <row r="132" spans="1:4" ht="96" customHeight="1">
      <c r="A132" s="5" t="s">
        <v>332</v>
      </c>
      <c r="B132" s="42" t="s">
        <v>331</v>
      </c>
      <c r="C132" s="3">
        <v>200</v>
      </c>
      <c r="D132" s="1">
        <f>769067</f>
        <v>769067</v>
      </c>
    </row>
    <row r="133" spans="1:4" s="33" customFormat="1" ht="42.75" customHeight="1">
      <c r="A133" s="30" t="s">
        <v>164</v>
      </c>
      <c r="B133" s="18" t="s">
        <v>165</v>
      </c>
      <c r="C133" s="18"/>
      <c r="D133" s="19">
        <f>SUM(D134:D136)</f>
        <v>89930127.52</v>
      </c>
    </row>
    <row r="134" spans="1:4" ht="117.75" customHeight="1">
      <c r="A134" s="5" t="s">
        <v>166</v>
      </c>
      <c r="B134" s="3" t="s">
        <v>167</v>
      </c>
      <c r="C134" s="3">
        <v>200</v>
      </c>
      <c r="D134" s="1">
        <f>50000+55800000+450000-55800000+55850000-343500-146000-368.43+0.01-3008.39</f>
        <v>55857123.19</v>
      </c>
    </row>
    <row r="135" spans="1:4" ht="80.25" customHeight="1">
      <c r="A135" s="5" t="s">
        <v>210</v>
      </c>
      <c r="B135" s="3" t="s">
        <v>211</v>
      </c>
      <c r="C135" s="3">
        <v>200</v>
      </c>
      <c r="D135" s="1">
        <f>26013684.21+700000+368.43-0.01+5718951.7</f>
        <v>32433004.33</v>
      </c>
    </row>
    <row r="136" spans="1:4" ht="99.75" customHeight="1">
      <c r="A136" s="2" t="s">
        <v>264</v>
      </c>
      <c r="B136" s="3" t="s">
        <v>253</v>
      </c>
      <c r="C136" s="3">
        <v>200</v>
      </c>
      <c r="D136" s="1">
        <f>1940000+60000-360000</f>
        <v>1640000</v>
      </c>
    </row>
    <row r="137" spans="1:4" s="29" customFormat="1" ht="39.75" customHeight="1">
      <c r="A137" s="34" t="s">
        <v>123</v>
      </c>
      <c r="B137" s="14" t="s">
        <v>124</v>
      </c>
      <c r="C137" s="14"/>
      <c r="D137" s="15">
        <f>D138</f>
        <v>2499780.31</v>
      </c>
    </row>
    <row r="138" spans="1:4" s="16" customFormat="1" ht="56.25">
      <c r="A138" s="13" t="s">
        <v>29</v>
      </c>
      <c r="B138" s="14" t="s">
        <v>16</v>
      </c>
      <c r="C138" s="3"/>
      <c r="D138" s="15">
        <f>SUM(D139:D142)</f>
        <v>2499780.31</v>
      </c>
    </row>
    <row r="139" spans="1:4" ht="135" customHeight="1">
      <c r="A139" s="5" t="s">
        <v>115</v>
      </c>
      <c r="B139" s="3" t="s">
        <v>17</v>
      </c>
      <c r="C139" s="3">
        <v>100</v>
      </c>
      <c r="D139" s="1">
        <f>731884.6+7685.22+64362.22</f>
        <v>803932.0399999999</v>
      </c>
    </row>
    <row r="140" spans="1:4" ht="136.5" customHeight="1">
      <c r="A140" s="5" t="s">
        <v>89</v>
      </c>
      <c r="B140" s="3" t="s">
        <v>67</v>
      </c>
      <c r="C140" s="3">
        <v>100</v>
      </c>
      <c r="D140" s="1">
        <f>1172083.85+11398.42</f>
        <v>1183482.27</v>
      </c>
    </row>
    <row r="141" spans="1:4" ht="96.75" customHeight="1">
      <c r="A141" s="5" t="s">
        <v>90</v>
      </c>
      <c r="B141" s="3" t="s">
        <v>67</v>
      </c>
      <c r="C141" s="3">
        <v>200</v>
      </c>
      <c r="D141" s="1">
        <f>484466</f>
        <v>484466</v>
      </c>
    </row>
    <row r="142" spans="1:4" ht="61.5" customHeight="1">
      <c r="A142" s="5" t="s">
        <v>172</v>
      </c>
      <c r="B142" s="3" t="s">
        <v>173</v>
      </c>
      <c r="C142" s="3">
        <v>800</v>
      </c>
      <c r="D142" s="1">
        <f>30000-2100</f>
        <v>27900</v>
      </c>
    </row>
    <row r="143" spans="1:4" s="29" customFormat="1" ht="56.25">
      <c r="A143" s="13" t="s">
        <v>121</v>
      </c>
      <c r="B143" s="14" t="s">
        <v>122</v>
      </c>
      <c r="C143" s="14"/>
      <c r="D143" s="15">
        <f>D144</f>
        <v>3777030.6</v>
      </c>
    </row>
    <row r="144" spans="1:4" s="20" customFormat="1" ht="75">
      <c r="A144" s="13" t="s">
        <v>30</v>
      </c>
      <c r="B144" s="14" t="s">
        <v>18</v>
      </c>
      <c r="C144" s="18"/>
      <c r="D144" s="15">
        <f>SUM(D145:D177)</f>
        <v>3777030.6</v>
      </c>
    </row>
    <row r="145" spans="1:4" s="20" customFormat="1" ht="136.5" customHeight="1">
      <c r="A145" s="41" t="s">
        <v>308</v>
      </c>
      <c r="B145" s="3" t="s">
        <v>307</v>
      </c>
      <c r="C145" s="3">
        <v>500</v>
      </c>
      <c r="D145" s="1">
        <f>2100</f>
        <v>2100</v>
      </c>
    </row>
    <row r="146" spans="1:4" s="20" customFormat="1" ht="37.5">
      <c r="A146" s="5" t="s">
        <v>145</v>
      </c>
      <c r="B146" s="3" t="s">
        <v>146</v>
      </c>
      <c r="C146" s="3">
        <v>800</v>
      </c>
      <c r="D146" s="1">
        <f>70000-20331</f>
        <v>49669</v>
      </c>
    </row>
    <row r="147" spans="1:4" s="20" customFormat="1" ht="117.75" customHeight="1">
      <c r="A147" s="5" t="s">
        <v>310</v>
      </c>
      <c r="B147" s="3" t="s">
        <v>309</v>
      </c>
      <c r="C147" s="3">
        <v>600</v>
      </c>
      <c r="D147" s="1">
        <f>10500</f>
        <v>10500</v>
      </c>
    </row>
    <row r="148" spans="1:4" s="20" customFormat="1" ht="61.5" customHeight="1">
      <c r="A148" s="5" t="s">
        <v>206</v>
      </c>
      <c r="B148" s="3" t="s">
        <v>207</v>
      </c>
      <c r="C148" s="3">
        <v>700</v>
      </c>
      <c r="D148" s="1">
        <f>36279.18</f>
        <v>36279.18</v>
      </c>
    </row>
    <row r="149" spans="1:4" s="20" customFormat="1" ht="100.5" customHeight="1">
      <c r="A149" s="5" t="s">
        <v>156</v>
      </c>
      <c r="B149" s="3" t="s">
        <v>157</v>
      </c>
      <c r="C149" s="3">
        <v>200</v>
      </c>
      <c r="D149" s="1">
        <f>36000</f>
        <v>36000</v>
      </c>
    </row>
    <row r="150" spans="1:4" s="20" customFormat="1" ht="98.25" customHeight="1">
      <c r="A150" s="5" t="s">
        <v>197</v>
      </c>
      <c r="B150" s="3" t="s">
        <v>147</v>
      </c>
      <c r="C150" s="3">
        <v>200</v>
      </c>
      <c r="D150" s="1">
        <f>100000+100000-70000</f>
        <v>130000</v>
      </c>
    </row>
    <row r="151" spans="1:4" s="20" customFormat="1" ht="115.5" customHeight="1">
      <c r="A151" s="5" t="s">
        <v>183</v>
      </c>
      <c r="B151" s="3" t="s">
        <v>184</v>
      </c>
      <c r="C151" s="3">
        <v>200</v>
      </c>
      <c r="D151" s="1">
        <f>59464.7+1783.9</f>
        <v>61248.6</v>
      </c>
    </row>
    <row r="152" spans="1:4" s="20" customFormat="1" ht="118.5" customHeight="1">
      <c r="A152" s="5" t="s">
        <v>243</v>
      </c>
      <c r="B152" s="3" t="s">
        <v>218</v>
      </c>
      <c r="C152" s="3">
        <v>200</v>
      </c>
      <c r="D152" s="1">
        <f>180000+25000</f>
        <v>205000</v>
      </c>
    </row>
    <row r="153" spans="1:4" s="20" customFormat="1" ht="156" customHeight="1">
      <c r="A153" s="5" t="s">
        <v>244</v>
      </c>
      <c r="B153" s="3" t="s">
        <v>238</v>
      </c>
      <c r="C153" s="3">
        <v>200</v>
      </c>
      <c r="D153" s="1">
        <v>53921</v>
      </c>
    </row>
    <row r="154" spans="1:4" s="20" customFormat="1" ht="98.25" customHeight="1">
      <c r="A154" s="5" t="s">
        <v>242</v>
      </c>
      <c r="B154" s="3" t="s">
        <v>241</v>
      </c>
      <c r="C154" s="3">
        <v>200</v>
      </c>
      <c r="D154" s="1">
        <f>292333-62333</f>
        <v>230000</v>
      </c>
    </row>
    <row r="155" spans="1:4" s="20" customFormat="1" ht="78.75" customHeight="1">
      <c r="A155" s="5" t="s">
        <v>266</v>
      </c>
      <c r="B155" s="3" t="s">
        <v>265</v>
      </c>
      <c r="C155" s="3">
        <v>200</v>
      </c>
      <c r="D155" s="1">
        <f>12000</f>
        <v>12000</v>
      </c>
    </row>
    <row r="156" spans="1:4" s="20" customFormat="1" ht="118.5" customHeight="1">
      <c r="A156" s="5" t="s">
        <v>240</v>
      </c>
      <c r="B156" s="3" t="s">
        <v>239</v>
      </c>
      <c r="C156" s="3">
        <v>200</v>
      </c>
      <c r="D156" s="1">
        <v>13783.78</v>
      </c>
    </row>
    <row r="157" spans="1:4" ht="77.25" customHeight="1">
      <c r="A157" s="5" t="s">
        <v>91</v>
      </c>
      <c r="B157" s="3" t="s">
        <v>68</v>
      </c>
      <c r="C157" s="3">
        <v>300</v>
      </c>
      <c r="D157" s="1">
        <f>208000+5251.15</f>
        <v>213251.15</v>
      </c>
    </row>
    <row r="158" spans="1:4" ht="147.75" customHeight="1">
      <c r="A158" s="2" t="s">
        <v>286</v>
      </c>
      <c r="B158" s="3" t="s">
        <v>285</v>
      </c>
      <c r="C158" s="3">
        <v>300</v>
      </c>
      <c r="D158" s="1">
        <f>20000</f>
        <v>20000</v>
      </c>
    </row>
    <row r="159" spans="1:4" ht="137.25" customHeight="1">
      <c r="A159" s="44" t="s">
        <v>328</v>
      </c>
      <c r="B159" s="3" t="s">
        <v>327</v>
      </c>
      <c r="C159" s="3">
        <v>300</v>
      </c>
      <c r="D159" s="1">
        <v>20000</v>
      </c>
    </row>
    <row r="160" spans="1:4" ht="96" customHeight="1">
      <c r="A160" s="2" t="s">
        <v>199</v>
      </c>
      <c r="B160" s="3" t="s">
        <v>198</v>
      </c>
      <c r="C160" s="3">
        <v>200</v>
      </c>
      <c r="D160" s="1">
        <f>13157.89+250000+247120-32000</f>
        <v>478277.89</v>
      </c>
    </row>
    <row r="161" spans="1:4" ht="39" customHeight="1">
      <c r="A161" s="5" t="s">
        <v>144</v>
      </c>
      <c r="B161" s="3" t="s">
        <v>143</v>
      </c>
      <c r="C161" s="3">
        <v>800</v>
      </c>
      <c r="D161" s="1">
        <f>1250000</f>
        <v>1250000</v>
      </c>
    </row>
    <row r="162" spans="1:4" ht="81" customHeight="1">
      <c r="A162" s="5" t="s">
        <v>230</v>
      </c>
      <c r="B162" s="3" t="s">
        <v>222</v>
      </c>
      <c r="C162" s="3">
        <v>800</v>
      </c>
      <c r="D162" s="1">
        <f>50000</f>
        <v>50000</v>
      </c>
    </row>
    <row r="163" spans="1:4" ht="78.75" customHeight="1">
      <c r="A163" s="5" t="s">
        <v>231</v>
      </c>
      <c r="B163" s="3" t="s">
        <v>223</v>
      </c>
      <c r="C163" s="3">
        <v>800</v>
      </c>
      <c r="D163" s="1">
        <f>50000</f>
        <v>50000</v>
      </c>
    </row>
    <row r="164" spans="1:4" ht="78" customHeight="1">
      <c r="A164" s="5" t="s">
        <v>232</v>
      </c>
      <c r="B164" s="3" t="s">
        <v>224</v>
      </c>
      <c r="C164" s="3">
        <v>800</v>
      </c>
      <c r="D164" s="1">
        <f>50000</f>
        <v>50000</v>
      </c>
    </row>
    <row r="165" spans="1:4" ht="79.5" customHeight="1">
      <c r="A165" s="5" t="s">
        <v>233</v>
      </c>
      <c r="B165" s="3" t="s">
        <v>225</v>
      </c>
      <c r="C165" s="3">
        <v>800</v>
      </c>
      <c r="D165" s="1">
        <f>50000</f>
        <v>50000</v>
      </c>
    </row>
    <row r="166" spans="1:4" ht="78.75" customHeight="1">
      <c r="A166" s="5" t="s">
        <v>234</v>
      </c>
      <c r="B166" s="3" t="s">
        <v>226</v>
      </c>
      <c r="C166" s="3">
        <v>800</v>
      </c>
      <c r="D166" s="1">
        <f>50000</f>
        <v>50000</v>
      </c>
    </row>
    <row r="167" spans="1:4" ht="119.25" customHeight="1">
      <c r="A167" s="5" t="s">
        <v>248</v>
      </c>
      <c r="B167" s="3" t="s">
        <v>247</v>
      </c>
      <c r="C167" s="3">
        <v>800</v>
      </c>
      <c r="D167" s="1">
        <f>105000</f>
        <v>105000</v>
      </c>
    </row>
    <row r="168" spans="1:4" ht="79.5" customHeight="1">
      <c r="A168" s="5" t="s">
        <v>298</v>
      </c>
      <c r="B168" s="3" t="s">
        <v>295</v>
      </c>
      <c r="C168" s="3">
        <v>800</v>
      </c>
      <c r="D168" s="1">
        <f>50000</f>
        <v>50000</v>
      </c>
    </row>
    <row r="169" spans="1:4" ht="77.25" customHeight="1">
      <c r="A169" s="5" t="s">
        <v>299</v>
      </c>
      <c r="B169" s="3" t="s">
        <v>296</v>
      </c>
      <c r="C169" s="3">
        <v>800</v>
      </c>
      <c r="D169" s="1">
        <f>50000</f>
        <v>50000</v>
      </c>
    </row>
    <row r="170" spans="1:4" ht="77.25" customHeight="1">
      <c r="A170" s="5" t="s">
        <v>300</v>
      </c>
      <c r="B170" s="3" t="s">
        <v>297</v>
      </c>
      <c r="C170" s="3">
        <v>800</v>
      </c>
      <c r="D170" s="1">
        <f>50000</f>
        <v>50000</v>
      </c>
    </row>
    <row r="171" spans="1:4" ht="61.5" customHeight="1">
      <c r="A171" s="5" t="s">
        <v>302</v>
      </c>
      <c r="B171" s="3" t="s">
        <v>301</v>
      </c>
      <c r="C171" s="3">
        <v>800</v>
      </c>
      <c r="D171" s="1">
        <v>50000</v>
      </c>
    </row>
    <row r="172" spans="1:4" ht="105" customHeight="1">
      <c r="A172" s="5" t="s">
        <v>311</v>
      </c>
      <c r="B172" s="3" t="s">
        <v>312</v>
      </c>
      <c r="C172" s="3">
        <v>800</v>
      </c>
      <c r="D172" s="1">
        <f>50000</f>
        <v>50000</v>
      </c>
    </row>
    <row r="173" spans="1:4" ht="85.5" customHeight="1">
      <c r="A173" s="5" t="s">
        <v>314</v>
      </c>
      <c r="B173" s="3" t="s">
        <v>313</v>
      </c>
      <c r="C173" s="3">
        <v>800</v>
      </c>
      <c r="D173" s="1">
        <f>50000</f>
        <v>50000</v>
      </c>
    </row>
    <row r="174" spans="1:4" ht="80.25" customHeight="1">
      <c r="A174" s="5" t="s">
        <v>322</v>
      </c>
      <c r="B174" s="3" t="s">
        <v>321</v>
      </c>
      <c r="C174" s="3">
        <v>800</v>
      </c>
      <c r="D174" s="1">
        <v>50000</v>
      </c>
    </row>
    <row r="175" spans="1:4" ht="117.75" customHeight="1">
      <c r="A175" s="5" t="s">
        <v>330</v>
      </c>
      <c r="B175" s="3" t="s">
        <v>329</v>
      </c>
      <c r="C175" s="3">
        <v>800</v>
      </c>
      <c r="D175" s="1">
        <v>150000</v>
      </c>
    </row>
    <row r="176" spans="1:4" ht="77.25" customHeight="1">
      <c r="A176" s="5" t="s">
        <v>333</v>
      </c>
      <c r="B176" s="3" t="s">
        <v>335</v>
      </c>
      <c r="C176" s="3">
        <v>800</v>
      </c>
      <c r="D176" s="1">
        <v>50000</v>
      </c>
    </row>
    <row r="177" spans="1:4" ht="78" customHeight="1">
      <c r="A177" s="5" t="s">
        <v>334</v>
      </c>
      <c r="B177" s="3" t="s">
        <v>336</v>
      </c>
      <c r="C177" s="3">
        <v>800</v>
      </c>
      <c r="D177" s="1">
        <v>50000</v>
      </c>
    </row>
    <row r="178" spans="1:4" s="7" customFormat="1" ht="18.75">
      <c r="A178" s="45" t="s">
        <v>120</v>
      </c>
      <c r="B178" s="45"/>
      <c r="C178" s="45"/>
      <c r="D178" s="15">
        <f>D14+D36+D110+D119+D137+D143+D123</f>
        <v>215484452.64999998</v>
      </c>
    </row>
    <row r="179" spans="4:7" ht="18.75">
      <c r="D179" s="36"/>
      <c r="F179" s="37"/>
      <c r="G179" s="37"/>
    </row>
    <row r="180" spans="2:7" s="16" customFormat="1" ht="18.75">
      <c r="B180" s="38"/>
      <c r="C180" s="22"/>
      <c r="D180" s="37"/>
      <c r="F180" s="37"/>
      <c r="G180" s="37"/>
    </row>
    <row r="183" spans="1:4" s="16" customFormat="1" ht="18.75">
      <c r="A183" s="39"/>
      <c r="B183" s="38"/>
      <c r="C183" s="22"/>
      <c r="D183" s="37"/>
    </row>
    <row r="184" spans="1:4" s="16" customFormat="1" ht="18.75">
      <c r="A184" s="40"/>
      <c r="B184" s="38"/>
      <c r="C184" s="22"/>
      <c r="D184" s="37"/>
    </row>
    <row r="185" ht="18.75">
      <c r="D185" s="37"/>
    </row>
  </sheetData>
  <sheetProtection/>
  <mergeCells count="10">
    <mergeCell ref="A178:C178"/>
    <mergeCell ref="A9:D9"/>
    <mergeCell ref="A7:D7"/>
    <mergeCell ref="A1:D1"/>
    <mergeCell ref="A2:D2"/>
    <mergeCell ref="A3:D3"/>
    <mergeCell ref="A4:D4"/>
    <mergeCell ref="A5:D5"/>
    <mergeCell ref="A6:D6"/>
    <mergeCell ref="A10:D10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2021-01-18T05:57:41Z</dcterms:modified>
  <cp:category/>
  <cp:version/>
  <cp:contentType/>
  <cp:contentStatus/>
</cp:coreProperties>
</file>