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7350" activeTab="0"/>
  </bookViews>
  <sheets>
    <sheet name="Прил. № 4 Распред на 2023 год" sheetId="1" r:id="rId1"/>
  </sheets>
  <definedNames>
    <definedName name="_xlnm.Print_Titles" localSheetId="0">'Прил. № 4 Распред на 2023 год'!$25:$25</definedName>
  </definedNames>
  <calcPr fullCalcOnLoad="1"/>
</workbook>
</file>

<file path=xl/sharedStrings.xml><?xml version="1.0" encoding="utf-8"?>
<sst xmlns="http://schemas.openxmlformats.org/spreadsheetml/2006/main" count="262" uniqueCount="258">
  <si>
    <t>01 0 00 00000</t>
  </si>
  <si>
    <t>01 1 00 00000</t>
  </si>
  <si>
    <t>01 2 00 00000</t>
  </si>
  <si>
    <t>01 2 01 00000</t>
  </si>
  <si>
    <t>02 0 00 00000</t>
  </si>
  <si>
    <t>02 1 00 00000</t>
  </si>
  <si>
    <t>02 1 01 00000</t>
  </si>
  <si>
    <t>02 2 00 00000</t>
  </si>
  <si>
    <t>02 2 01 00000</t>
  </si>
  <si>
    <t>02 3 00 00000</t>
  </si>
  <si>
    <t>02 3 01 00000</t>
  </si>
  <si>
    <t>03 0 00 00000</t>
  </si>
  <si>
    <t>03 1 00 00000</t>
  </si>
  <si>
    <t>03 1 01 00000</t>
  </si>
  <si>
    <t>03 2 00 00000</t>
  </si>
  <si>
    <t>03 2 01 00000</t>
  </si>
  <si>
    <t>30 9 00 00000</t>
  </si>
  <si>
    <t>30 9 00 00200</t>
  </si>
  <si>
    <t>31 9 00 00000</t>
  </si>
  <si>
    <t>01 1 02 00000</t>
  </si>
  <si>
    <t xml:space="preserve">Основное мероприятие "Финансовая поддержка социально-ориентированных некоммерческих организаций" </t>
  </si>
  <si>
    <t>Подпрограмма "Поддержка деятельности общественных объединений, обеспечение прав и возможностей отдельных категорий граждан"</t>
  </si>
  <si>
    <t>02 4 00 00000</t>
  </si>
  <si>
    <t>02 4 01 00000</t>
  </si>
  <si>
    <t xml:space="preserve">Основное мероприятие "Организация и проведение мероприятий с детьми и молодежью, развитие физической культуры и спорта,  обеспечение населения услугами учреждений культуры" </t>
  </si>
  <si>
    <t xml:space="preserve">Основное мероприятие "Организация строительства и содержания муниципального жилищного фонда, обеспечение населения услугами водоснабжения" </t>
  </si>
  <si>
    <t xml:space="preserve">Основное мероприятие "Капитальный ремонт, ремонт и содержание автомобильных дорог Южского городского поселения" </t>
  </si>
  <si>
    <t xml:space="preserve">Основное мероприятие "Управление и распоряжение земельными ресурсами" </t>
  </si>
  <si>
    <t xml:space="preserve">Основное мероприятие "Обеспечение безопасности граждан" </t>
  </si>
  <si>
    <t>Непрограммные направления деятельности  органов местного самоуправления Южского городского поселения</t>
  </si>
  <si>
    <t>Непрограммные  направления  деятельности исполнительно-распорядительных  органов местного самоуправления Южского муниципального района</t>
  </si>
  <si>
    <t>Проведение мероприятий среди молодежи (Предоставление субсидий бюджетным, автономным учреждениям и иным некоммерческим организациям)</t>
  </si>
  <si>
    <r>
      <t>Поддержка талантливой молодежи (Предоставление субсидий бюджетным, автономным учреждениям и иным некоммерческим организациям)</t>
    </r>
  </si>
  <si>
    <r>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r>
  </si>
  <si>
    <t>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t>
  </si>
  <si>
    <t xml:space="preserve">Основное мероприятие "Создание комфортных условий для проживания населения Южского городского поселения" </t>
  </si>
  <si>
    <t>Подпрограмма "Улучшение коммунального обслуживания и жилищных условий граждан Южского городского поселения"</t>
  </si>
  <si>
    <t>Капитальный ремонт, ремонт и содержание жилищного фонда (Закупка товаров, работ и услуг для обеспечения государственных (муниципальных) нужд)</t>
  </si>
  <si>
    <t>Подпрограмма "Благоустройство и озеленение Южского городского поселения"</t>
  </si>
  <si>
    <t>Обеспечение улучшения организации дорожного движения  (Закупка товаров, работ и услуг для обеспечения государственных (муниципальных) нужд)</t>
  </si>
  <si>
    <t>02 6 00 00000</t>
  </si>
  <si>
    <t>02 6 01 00000</t>
  </si>
  <si>
    <t xml:space="preserve">Основное мероприятие "Возмещение части затрат в связи с оказанием услуг по помывке населения в общих отделениях бани" </t>
  </si>
  <si>
    <t>02 7 01 00000</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</si>
  <si>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</si>
  <si>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Подпрограмма "Управление и распоряжение муниципальным имуществом и земельными ресурсами Южского городского поселения"</t>
  </si>
  <si>
    <t>02 7 00 00000</t>
  </si>
  <si>
    <t xml:space="preserve">Основное мероприятие "Управление и распоряжение муниципальным имуществом"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</si>
  <si>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</si>
  <si>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Мероприятия по профилактике правонарушений, терроризма и экстремизма на территории Южского городского поселения (Закупка товаров, работ и услуг для обеспечения государственных (муниципальных) нужд)</t>
  </si>
  <si>
    <r>
      <t>Подпрограмма "Пожарная безопасность, развитие системы гражданской обороны, защита населения и территории Южского городского поселения от чрезвычайных ситуаций"</t>
    </r>
  </si>
  <si>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</si>
  <si>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Резервный фонд Администрации Южского муниципального района (Иные бюджетные ассигнования) </t>
  </si>
  <si>
    <t>02 7 02 00000</t>
  </si>
  <si>
    <t xml:space="preserve">Основное мероприятие "Обеспечение безопасности населения Южского городского поселения" </t>
  </si>
  <si>
    <t xml:space="preserve">Основное мероприятие "Обеспечение защиты населения и территории Южского городского поселения" </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</si>
  <si>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</si>
  <si>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 xml:space="preserve">01 2 01 20020 </t>
  </si>
  <si>
    <t xml:space="preserve">01 2 01 00010 </t>
  </si>
  <si>
    <t>01 2 01 S0340</t>
  </si>
  <si>
    <t xml:space="preserve">02 1 01 20080 </t>
  </si>
  <si>
    <t xml:space="preserve">02 2 01 20140 </t>
  </si>
  <si>
    <t>30 9 00 00210</t>
  </si>
  <si>
    <t>31 9 00 66010</t>
  </si>
  <si>
    <t xml:space="preserve">02 6 01 60030 </t>
  </si>
  <si>
    <t xml:space="preserve">01 1 02 20010   </t>
  </si>
  <si>
    <t xml:space="preserve">01 2 01 20030 </t>
  </si>
  <si>
    <t xml:space="preserve">01 2 01 20040 </t>
  </si>
  <si>
    <t xml:space="preserve">01 2 01 20050 </t>
  </si>
  <si>
    <t xml:space="preserve">02 1 01 20090 </t>
  </si>
  <si>
    <t xml:space="preserve">02 2 01 20160 </t>
  </si>
  <si>
    <t xml:space="preserve">02 2 01 20170 </t>
  </si>
  <si>
    <t xml:space="preserve">02 4 01 20210 </t>
  </si>
  <si>
    <t>02 7 01 20240</t>
  </si>
  <si>
    <t>02 7 02 20250</t>
  </si>
  <si>
    <t xml:space="preserve">03 1 01 20270 </t>
  </si>
  <si>
    <t xml:space="preserve">03 2 01 20280 </t>
  </si>
  <si>
    <t xml:space="preserve">03 2 01 20290 </t>
  </si>
  <si>
    <t xml:space="preserve">03 2 01 20300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</si>
  <si>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</si>
  <si>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Подпрограмма "Дорожная деятельность и транспортное обслуживание населения Южского городского поселения"</t>
  </si>
  <si>
    <t>Подпрограмма "Повышение безопасности дорожного движения в Южском городском поселении"</t>
  </si>
  <si>
    <t>Организация дополнительного пенсионного обеспечения отдельных категорий граждан  (Социальное обеспечение и   иные выплаты населению)</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</si>
  <si>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</si>
  <si>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Подпрограмма "Поддержка интеллектуального, творческого, духовно-нравственного и физического развития населения"</t>
  </si>
  <si>
    <t>Муниципальная программа Южского городского поселения "Развитие культуры в Южском городском поселении"</t>
  </si>
  <si>
    <r>
      <t xml:space="preserve">Муниципальная программа Южского городского поселения "Развитие инфраструктуры и улучшение жилищных условий граждан" </t>
    </r>
  </si>
  <si>
    <t xml:space="preserve">Муниципальная программа Южского городского поселения "Безопасный город" </t>
  </si>
  <si>
    <r>
      <t>Подпрограмма "Профилактика правонарушений, терроризма и экстремизма, а также минимизация и (или) ликвидация последствий проявления терроризма и экстремизма на территории Южского городского поселения"</t>
    </r>
  </si>
  <si>
    <t>Подпрограмма "Повышение доступности и качества предоставления муниципальных услуг населению города Южа в области жилищно-коммунальных услуг и дорожной деятельности муниципальным казенным учреждением "Управление городского хозяйства""</t>
  </si>
  <si>
    <t>02 8 00 00000</t>
  </si>
  <si>
    <t xml:space="preserve">Основное мероприятие "Организация предоставления муниципальных услуг на базе муниципального казенного учреждения "Управление городского хозяйства"" </t>
  </si>
  <si>
    <t>02 8 01 00000</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</si>
  <si>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</si>
  <si>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02 8 01 00220</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</si>
  <si>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</si>
  <si>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</si>
  <si>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</si>
  <si>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02 7 03 00000</t>
  </si>
  <si>
    <t xml:space="preserve">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(Закупка товаров, работ и услуг для обеспечения государственных (муниципальных) нужд) </t>
  </si>
  <si>
    <t xml:space="preserve">02 7 03 20260 </t>
  </si>
  <si>
    <t>Наименование</t>
  </si>
  <si>
    <t>Целевая статья</t>
  </si>
  <si>
    <t>Вид расходов</t>
  </si>
  <si>
    <t>Непрограммные  направления  деятельности исполнительно-распорядительных  органов местного самоуправления</t>
  </si>
  <si>
    <t>31 0 00 00000</t>
  </si>
  <si>
    <t>Непрограммные направления деятельности  органов местного самоуправления</t>
  </si>
  <si>
    <t>30 0 00 00000</t>
  </si>
  <si>
    <t>02 3 02 00000</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</si>
  <si>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</si>
  <si>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</si>
  <si>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</si>
  <si>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Прочие мероприятия  в области благоустройства (Закупка товаров, работ и услуг для обеспечения государственных (муниципальных) нужд)</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</si>
  <si>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</si>
  <si>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Подпрограмма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</si>
  <si>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</si>
  <si>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</si>
  <si>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</si>
  <si>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</si>
  <si>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02 1 01 20120 </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</si>
  <si>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</si>
  <si>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02 1 01 20680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</si>
  <si>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</si>
  <si>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</si>
  <si>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</si>
  <si>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</si>
  <si>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</si>
  <si>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</si>
  <si>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</si>
  <si>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</si>
  <si>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03 1 01 21090</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</si>
  <si>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</si>
  <si>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 xml:space="preserve">Основное мероприятие "Разработка и внесение изменений в документы территориального планирования и градостроительного зонирования Южского городского поселения" </t>
  </si>
  <si>
    <t>Ликвидация несанкционированных свалок (Закупка товаров, работ и услуг для обеспечения государственных (муниципальных) нужд)</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</si>
  <si>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</si>
  <si>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</si>
  <si>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</si>
  <si>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</si>
  <si>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</si>
  <si>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</si>
  <si>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</si>
  <si>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02 2 01 21410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</si>
  <si>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</si>
  <si>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</si>
  <si>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Муниципальная программа Южского городского поселения "Формирование современной городской среды на территории Южского городского поселения"</t>
  </si>
  <si>
    <t>06 0 00 00000</t>
  </si>
  <si>
    <t>Подпрограмма "Водохозяйственные мероприятия на оз. Вазаль Южского муниципального района"</t>
  </si>
  <si>
    <t>02 9 00 00000</t>
  </si>
  <si>
    <t xml:space="preserve">Основное мероприятие "Проведение мероприятий, направленных на содержание плотины на р. Пионерка (оз. Вазаль)" </t>
  </si>
  <si>
    <t>02 9 01 00000</t>
  </si>
  <si>
    <t>Подпрограмма "Благоустройство дворовых и общественных территорий"</t>
  </si>
  <si>
    <t>06 1 00 00000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</si>
  <si>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</si>
  <si>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</si>
  <si>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</si>
  <si>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01 2 01 21480</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</si>
  <si>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</si>
  <si>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</si>
  <si>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02 9 01 60060</t>
  </si>
  <si>
    <t>Основное мероприятие "Муниципальный проект благоустройства общественных пространств"</t>
  </si>
  <si>
    <t>06 1 01 00000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</si>
  <si>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</si>
  <si>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</si>
  <si>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</si>
  <si>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02 2 01 20150</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</si>
  <si>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</si>
  <si>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02 3 01 20690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</si>
  <si>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</si>
  <si>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02 2 01 20490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</si>
  <si>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</si>
  <si>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02 2 01 21260</t>
  </si>
  <si>
    <t>Сумма, руб.</t>
  </si>
  <si>
    <t xml:space="preserve">к решению Совета  </t>
  </si>
  <si>
    <t>Южского городского</t>
  </si>
  <si>
    <t>поселения Южского</t>
  </si>
  <si>
    <t>муниципального района</t>
  </si>
  <si>
    <r>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r>
    <r>
      <rPr>
        <i/>
        <sz val="14"/>
        <rFont val="Times New Roman"/>
        <family val="1"/>
      </rPr>
      <t xml:space="preserve"> </t>
    </r>
  </si>
  <si>
    <r>
      <t>Всего:</t>
    </r>
    <r>
      <rPr>
        <b/>
        <i/>
        <sz val="14"/>
        <rFont val="Times New Roman"/>
        <family val="1"/>
      </rPr>
      <t xml:space="preserve"> </t>
    </r>
  </si>
  <si>
    <t xml:space="preserve">02 7 01 21740 </t>
  </si>
  <si>
    <t xml:space="preserve">02 7 01 21750 </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</si>
  <si>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</si>
  <si>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</si>
  <si>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</si>
  <si>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</si>
  <si>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</si>
  <si>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</si>
  <si>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</si>
  <si>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</si>
  <si>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</si>
  <si>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</si>
  <si>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</si>
  <si>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02 2 01 21810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</si>
  <si>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</si>
  <si>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02 2 01 21820</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</si>
  <si>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</si>
  <si>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</si>
  <si>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</si>
  <si>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 xml:space="preserve">Основное мероприятие "Организация регулярных перевозок по регулируемым тарифам" </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</si>
  <si>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</si>
  <si>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</si>
  <si>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</si>
  <si>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</si>
  <si>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</si>
  <si>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"О бюджете Южского
городского поселения
на 2023 год и на плановый
период 2024 и 2025 годов"</t>
  </si>
  <si>
    <t>Распределение бюджетных ассигнований бюджета Южского городского поселения по целевым статьям (муниципальным программам Южского городского поселения и не включенным  в муниципальные программы Южского городского поселения направлениям деятельности органов местного самоуправления Южского городского поселения и  исполнительно-распорядительных  органов местного самоуправления Южского муниципального района), группам видов расходов классификации расходов бюджетов на 2023 год</t>
  </si>
  <si>
    <t>Выполнение работ по установке охранного оборудования и заключение договора на охрану объекта по адресу: г. Южа, ул. Лермонтова, д. 4Б (Закупка товаров, работ и услуг для обеспечения государственных (муниципальных) нужд)</t>
  </si>
  <si>
    <t>31 9 00 20670</t>
  </si>
  <si>
    <t>Рекультивация свалки твердых бытовых отходов (Закупка товаров, работ и услуг для обеспечения государственных (муниципальных) нужд)</t>
  </si>
  <si>
    <t xml:space="preserve">02 2 01 20180 </t>
  </si>
  <si>
    <t>Основное мероприятие "Организация в границах поселения водоотведения"</t>
  </si>
  <si>
    <t xml:space="preserve">Приобретение материалов для ремонта системы водоотведения – канализационных сетей по адресу: г. Южа, ул. Текстильщиков, Советская, Речная, проезд Советский, проезд Глушицкий, Арсеньевка. (Закупка товаров, работ и услуг для обеспечения государственных (муниципальных) нужд) </t>
  </si>
  <si>
    <t>02 1 02 22010</t>
  </si>
  <si>
    <t>02 1 02 00000</t>
  </si>
  <si>
    <t xml:space="preserve">Приобретение материалов для ремонта системы водоснабжения – водопроводных сетей по адресу: г. Южа, ул. Пушкина, Калинина, Осипенко, Стандартные Дома, Горького, Чапаева, Тельмана, Фридриха Энгельса, Станционная, Серп и Молот, Владимирская, Одесская, Севастопольская, пл. Ленина, Дачная, Дача, 6-я Рабочая, 4-я Рабочая, Куйбышева, проезд Советский, Красная, Ковровская, Революции, Механизаторов, Футбольная, Серова, Чкалова, Мира, Южная, Стадионная, Чехова, Суворова, Кутузова, Чернышевского, Чапаева, Новая, Ивановская, Дзержинского, Вокзальная, Ленина, Арсеньевка, Герцена, Прогонная, Северная, Лесная, Фрунзе, Полевая, Московская, Советская, Текстильщиков, Черняховского, Базарная, проезд Глушицкий, проезд Школьный. (Закупка товаров, работ и услуг для обеспечения государственных (муниципальных) нужд) </t>
  </si>
  <si>
    <t>02 1 01 22000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</si>
  <si>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</si>
  <si>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02 3 01 S0510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</si>
  <si>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</si>
  <si>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</si>
  <si>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</si>
  <si>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01 2 01 S1980</t>
  </si>
  <si>
    <t>Основное мероприятие "Муниципальный проект "Формирование комфортной городской среды""</t>
  </si>
  <si>
    <t>06 1 F2 00000</t>
  </si>
  <si>
    <t>Реализация программ формирования современной городской среды  (Закупка товаров, работ и услуг для обеспечения государственных (муниципальных) нужд)</t>
  </si>
  <si>
    <t>06 1 F2 55550</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</si>
  <si>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</si>
  <si>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02 2 01 21980</t>
  </si>
  <si>
    <t>06 1 F2 S5100</t>
  </si>
  <si>
    <t>Реализация проектов развития территорий муниципальных образований Ивановской области, основанных на местных инициативах (инициативных проектов) (Закупка товаров, работ и услуг для обеспечения государственных (муниципальных) нужд)</t>
  </si>
  <si>
    <r>
      <t xml:space="preserve">Обеспечение функционирования главы Южского городского поселения Южского муниципального района </t>
    </r>
    <r>
      <rPr>
        <sz val="14"/>
        <rFont val="Times New Roman"/>
        <family val="1"/>
      </rPr>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</si>
  <si>
    <t>Ивановской области</t>
  </si>
  <si>
    <t>Обеспечение функционирования Совета Южского городского поселения Южского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</si>
  <si>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Совета Южского городского поселения Южского муниципального района Ивановской области (Закупка товаров, работ и услуг для обеспечения государственных (муниципальных) нужд)</t>
  </si>
  <si>
    <t>от 23.12.2022 № 95</t>
  </si>
  <si>
    <t>Приложение № 2</t>
  </si>
  <si>
    <t>к решению Совета Южского</t>
  </si>
  <si>
    <t>городского поселения</t>
  </si>
  <si>
    <t xml:space="preserve">Южского муниципального района </t>
  </si>
  <si>
    <t>"О внесении изменений и дополнений 
в решение Совета Южского городского   
поселения от 23.12.2022 № 95   
"О бюджете Южского городского</t>
  </si>
  <si>
    <t xml:space="preserve"> поселения на 2023 год и на</t>
  </si>
  <si>
    <t>плановый период 2024 и 2025 годов""</t>
  </si>
  <si>
    <t>"Приложение № 4</t>
  </si>
  <si>
    <t>"</t>
  </si>
  <si>
    <t>02 2 01 21380</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</si>
  <si>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</si>
  <si>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02 2 01 40050</t>
  </si>
  <si>
    <t>Обустройство наружным искусственным освещением ул. Текстильщиков г. Южа Ивановской области (Капитальные вложения в объекты государственной (муниципальной) собственности)</t>
  </si>
  <si>
    <t>02 3 01 21640</t>
  </si>
  <si>
    <t>02 3 01 40040</t>
  </si>
  <si>
    <t>Выполнение работ по обустройству тротуара по четной и нечетной стороне автомобильной дороги на ул. Глушицкий проезд (по решению суда № 2-503/2017 от 01.12.2017г.) (Капитальные вложения в объекты государственной (муниципальной) собственности)</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</si>
  <si>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(Капитальные вложения в объекты государственной (муниципальной) собственности)</t>
  </si>
  <si>
    <t>31 9 00 90510</t>
  </si>
  <si>
    <t>31 9 00 90540</t>
  </si>
  <si>
    <t>31 9 00 90550</t>
  </si>
  <si>
    <t>Оплата судебных расходов по делу № А17-8240/2021 (Иные бюджетные ассигнования)</t>
  </si>
  <si>
    <t>Оплата штрафа по постановлению по делу об административном правонарушении должностного лица Управления ФССП России по Ивановской области от 09.12.2022 года № 37025/22/112816 исполнительное производство № 29751/19/37025-ИП от 04.09.2019 г. по АД № 81/22/37025-АП от 28.11.2022 (Иные бюджетные ассигнования)</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</si>
  <si>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29.12.2022 года. Исполнительное производство № 64851/22/37023-ИП от 08.11.2022 г., решение Палехского районного суда № 2а-241/2022 от 07.06.2022 (Иные бюджетные ассигнования)</t>
  </si>
  <si>
    <t>от 19.01.2023 № 1</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</si>
</sst>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6">
    <font>
      <sz val="11"/>
      <color theme="1"/>
      <name val="Calibri"/>
      <family val="2"/>
    </font>
    <font>
      <sz val="11"/>
      <color indexed="8"/>
      <name val="Calibri"/>
      <family val="2"/>
    </font>
    <font>
      <i/>
      <sz val="10"/>
      <color indexed="56"/>
      <name val="Times New Roman"/>
      <family val="1"/>
    </font>
    <font>
      <i/>
      <sz val="10"/>
      <color indexed="8"/>
      <name val="Times New Roman"/>
      <family val="1"/>
    </font>
    <font>
      <b/>
      <sz val="14"/>
      <color indexed="56"/>
      <name val="Times New Roman"/>
      <family val="1"/>
    </font>
    <font>
      <i/>
      <sz val="11"/>
      <name val="Times New Roman"/>
      <family val="1"/>
    </font>
    <font>
      <sz val="14"/>
      <name val="Times New Roman"/>
      <family val="1"/>
    </font>
    <font>
      <b/>
      <sz val="14"/>
      <name val="Times New Roman"/>
      <family val="1"/>
    </font>
    <font>
      <i/>
      <sz val="14"/>
      <name val="Times New Roman"/>
      <family val="1"/>
    </font>
    <font>
      <b/>
      <i/>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43">
    <xf numFmtId="0" fontId="0" fillId="0" borderId="0" xfId="0" applyFont="1" applyAlignment="1">
      <alignment/>
    </xf>
    <xf numFmtId="0" fontId="6" fillId="33" borderId="0" xfId="0" applyFont="1" applyFill="1" applyAlignment="1">
      <alignment/>
    </xf>
    <xf numFmtId="0" fontId="6" fillId="33" borderId="0" xfId="0" applyFont="1" applyFill="1" applyAlignment="1">
      <alignment vertical="center"/>
    </xf>
    <xf numFmtId="11" fontId="7" fillId="33" borderId="0" xfId="0" applyNumberFormat="1" applyFont="1" applyFill="1" applyBorder="1" applyAlignment="1">
      <alignment horizontal="center" vertical="top" wrapText="1"/>
    </xf>
    <xf numFmtId="0" fontId="6" fillId="33" borderId="0" xfId="0" applyFont="1" applyFill="1" applyBorder="1" applyAlignment="1">
      <alignment vertical="center"/>
    </xf>
    <xf numFmtId="1" fontId="6" fillId="33" borderId="10" xfId="0" applyNumberFormat="1" applyFont="1" applyFill="1" applyBorder="1" applyAlignment="1">
      <alignment horizontal="center" vertical="center"/>
    </xf>
    <xf numFmtId="49" fontId="6" fillId="33" borderId="10" xfId="0" applyNumberFormat="1" applyFont="1" applyFill="1" applyBorder="1" applyAlignment="1">
      <alignment horizontal="center" vertical="top" wrapText="1"/>
    </xf>
    <xf numFmtId="0" fontId="6" fillId="33" borderId="11" xfId="0" applyFont="1" applyFill="1" applyBorder="1" applyAlignment="1">
      <alignment horizontal="center" vertical="center"/>
    </xf>
    <xf numFmtId="1" fontId="6" fillId="33" borderId="11" xfId="0" applyNumberFormat="1" applyFont="1" applyFill="1" applyBorder="1" applyAlignment="1">
      <alignment horizontal="center" vertical="center"/>
    </xf>
    <xf numFmtId="0" fontId="6" fillId="33" borderId="11" xfId="0" applyFont="1" applyFill="1" applyBorder="1" applyAlignment="1">
      <alignment horizontal="center"/>
    </xf>
    <xf numFmtId="0" fontId="7" fillId="33" borderId="11" xfId="0" applyFont="1" applyFill="1" applyBorder="1" applyAlignment="1">
      <alignment horizontal="justify" vertical="top" wrapText="1"/>
    </xf>
    <xf numFmtId="0" fontId="7" fillId="33" borderId="11" xfId="0" applyFont="1" applyFill="1" applyBorder="1" applyAlignment="1">
      <alignment horizontal="center" vertical="center"/>
    </xf>
    <xf numFmtId="4" fontId="7" fillId="33" borderId="11" xfId="0" applyNumberFormat="1" applyFont="1" applyFill="1" applyBorder="1" applyAlignment="1">
      <alignment vertical="center"/>
    </xf>
    <xf numFmtId="0" fontId="7" fillId="33" borderId="0" xfId="0" applyFont="1" applyFill="1" applyAlignment="1">
      <alignment vertical="center"/>
    </xf>
    <xf numFmtId="0" fontId="7" fillId="33" borderId="0" xfId="0" applyFont="1" applyFill="1" applyAlignment="1">
      <alignment/>
    </xf>
    <xf numFmtId="0" fontId="8" fillId="33" borderId="11" xfId="0" applyNumberFormat="1" applyFont="1" applyFill="1" applyBorder="1" applyAlignment="1">
      <alignment horizontal="justify" vertical="top" wrapText="1"/>
    </xf>
    <xf numFmtId="0" fontId="8" fillId="33" borderId="11" xfId="0" applyFont="1" applyFill="1" applyBorder="1" applyAlignment="1">
      <alignment horizontal="center" vertical="center"/>
    </xf>
    <xf numFmtId="4" fontId="8" fillId="33" borderId="11" xfId="0" applyNumberFormat="1" applyFont="1" applyFill="1" applyBorder="1" applyAlignment="1">
      <alignment vertical="center"/>
    </xf>
    <xf numFmtId="0" fontId="8" fillId="33" borderId="0" xfId="0" applyFont="1" applyFill="1" applyAlignment="1">
      <alignment/>
    </xf>
    <xf numFmtId="0" fontId="6" fillId="33" borderId="11" xfId="0" applyNumberFormat="1" applyFont="1" applyFill="1" applyBorder="1" applyAlignment="1">
      <alignment horizontal="justify" vertical="top" wrapText="1"/>
    </xf>
    <xf numFmtId="4" fontId="6" fillId="33" borderId="11" xfId="0" applyNumberFormat="1" applyFont="1" applyFill="1" applyBorder="1" applyAlignment="1">
      <alignment vertical="center"/>
    </xf>
    <xf numFmtId="0" fontId="8" fillId="33" borderId="11" xfId="0" applyFont="1" applyFill="1" applyBorder="1" applyAlignment="1">
      <alignment horizontal="justify" vertical="top" wrapText="1"/>
    </xf>
    <xf numFmtId="0" fontId="6" fillId="33" borderId="11" xfId="0" applyFont="1" applyFill="1" applyBorder="1" applyAlignment="1">
      <alignment horizontal="justify" vertical="top" wrapText="1"/>
    </xf>
    <xf numFmtId="0" fontId="9" fillId="33" borderId="11" xfId="0" applyFont="1" applyFill="1" applyBorder="1" applyAlignment="1">
      <alignment horizontal="center" vertical="center"/>
    </xf>
    <xf numFmtId="0" fontId="9" fillId="33" borderId="0" xfId="0" applyFont="1" applyFill="1" applyAlignment="1">
      <alignment/>
    </xf>
    <xf numFmtId="3" fontId="6" fillId="33" borderId="11" xfId="0" applyNumberFormat="1" applyFont="1" applyFill="1" applyBorder="1" applyAlignment="1">
      <alignment horizontal="center" vertical="center"/>
    </xf>
    <xf numFmtId="49" fontId="7" fillId="33" borderId="11" xfId="0" applyNumberFormat="1" applyFont="1" applyFill="1" applyBorder="1" applyAlignment="1">
      <alignment horizontal="justify" vertical="top" wrapText="1"/>
    </xf>
    <xf numFmtId="0" fontId="6" fillId="33" borderId="0" xfId="0" applyFont="1" applyFill="1" applyAlignment="1">
      <alignment horizontal="center" vertical="center"/>
    </xf>
    <xf numFmtId="4" fontId="6" fillId="33" borderId="0" xfId="0" applyNumberFormat="1" applyFont="1" applyFill="1" applyAlignment="1">
      <alignment horizontal="right"/>
    </xf>
    <xf numFmtId="0" fontId="7" fillId="33" borderId="0" xfId="0" applyFont="1" applyFill="1" applyAlignment="1">
      <alignment horizontal="center"/>
    </xf>
    <xf numFmtId="0" fontId="7" fillId="33" borderId="0" xfId="0" applyFont="1" applyFill="1" applyAlignment="1">
      <alignment horizontal="center" vertical="center"/>
    </xf>
    <xf numFmtId="4" fontId="7" fillId="33" borderId="0" xfId="0" applyNumberFormat="1" applyFont="1" applyFill="1" applyAlignment="1">
      <alignment/>
    </xf>
    <xf numFmtId="0" fontId="7" fillId="33" borderId="0" xfId="0" applyFont="1" applyFill="1" applyBorder="1" applyAlignment="1">
      <alignment horizontal="right" vertical="top" wrapText="1"/>
    </xf>
    <xf numFmtId="0" fontId="7" fillId="33" borderId="0" xfId="0" applyFont="1" applyFill="1" applyAlignment="1">
      <alignment horizontal="right"/>
    </xf>
    <xf numFmtId="0" fontId="6" fillId="33" borderId="0" xfId="0" applyFont="1" applyFill="1" applyAlignment="1">
      <alignment horizontal="center"/>
    </xf>
    <xf numFmtId="49" fontId="6" fillId="33" borderId="0" xfId="0" applyNumberFormat="1" applyFont="1" applyFill="1" applyAlignment="1">
      <alignment horizontal="center" vertical="center"/>
    </xf>
    <xf numFmtId="4" fontId="6" fillId="33" borderId="11" xfId="0" applyNumberFormat="1" applyFont="1" applyFill="1" applyBorder="1" applyAlignment="1">
      <alignment horizontal="right" vertical="center"/>
    </xf>
    <xf numFmtId="0" fontId="7" fillId="33" borderId="11" xfId="0" applyFont="1" applyFill="1" applyBorder="1" applyAlignment="1">
      <alignment horizontal="left" vertical="center" wrapText="1"/>
    </xf>
    <xf numFmtId="0" fontId="6" fillId="33" borderId="0" xfId="0" applyFont="1" applyFill="1" applyBorder="1" applyAlignment="1">
      <alignment horizontal="right"/>
    </xf>
    <xf numFmtId="0" fontId="6" fillId="33" borderId="0" xfId="0" applyFont="1" applyFill="1" applyBorder="1" applyAlignment="1">
      <alignment horizontal="right" vertical="top" wrapText="1"/>
    </xf>
    <xf numFmtId="2" fontId="7" fillId="33" borderId="0" xfId="0" applyNumberFormat="1" applyFont="1" applyFill="1" applyBorder="1" applyAlignment="1">
      <alignment horizontal="center" vertical="top" wrapText="1"/>
    </xf>
    <xf numFmtId="0" fontId="6" fillId="33" borderId="0" xfId="0" applyFont="1" applyFill="1" applyAlignment="1">
      <alignment horizontal="right"/>
    </xf>
    <xf numFmtId="0" fontId="6" fillId="33" borderId="0" xfId="0" applyFont="1" applyFill="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52"/>
  <sheetViews>
    <sheetView tabSelected="1" zoomScale="90" zoomScaleNormal="90" zoomScalePageLayoutView="0" workbookViewId="0" topLeftCell="A1">
      <selection activeCell="I10" sqref="I10"/>
    </sheetView>
  </sheetViews>
  <sheetFormatPr defaultColWidth="9.140625" defaultRowHeight="15"/>
  <cols>
    <col min="1" max="1" width="62.57421875" style="1" customWidth="1"/>
    <col min="2" max="2" width="18.7109375" style="34" customWidth="1"/>
    <col min="3" max="3" width="6.140625" style="27" customWidth="1"/>
    <col min="4" max="4" width="19.8515625" style="1" customWidth="1"/>
    <col min="5" max="5" width="12.7109375" style="1" customWidth="1"/>
    <col min="6" max="16384" width="9.140625" style="1" customWidth="1"/>
  </cols>
  <sheetData>
    <row r="1" spans="1:4" ht="18.75">
      <c r="A1" s="41" t="s">
        <v>234</v>
      </c>
      <c r="B1" s="41"/>
      <c r="C1" s="41"/>
      <c r="D1" s="41"/>
    </row>
    <row r="2" spans="1:4" ht="18.75">
      <c r="A2" s="41" t="s">
        <v>235</v>
      </c>
      <c r="B2" s="41"/>
      <c r="C2" s="41"/>
      <c r="D2" s="41"/>
    </row>
    <row r="3" spans="1:4" ht="18.75">
      <c r="A3" s="41" t="s">
        <v>236</v>
      </c>
      <c r="B3" s="41"/>
      <c r="C3" s="41"/>
      <c r="D3" s="41"/>
    </row>
    <row r="4" spans="1:4" ht="18.75">
      <c r="A4" s="41" t="s">
        <v>237</v>
      </c>
      <c r="B4" s="41"/>
      <c r="C4" s="41"/>
      <c r="D4" s="41"/>
    </row>
    <row r="5" spans="1:4" ht="18.75">
      <c r="A5" s="41" t="s">
        <v>230</v>
      </c>
      <c r="B5" s="41"/>
      <c r="C5" s="41"/>
      <c r="D5" s="41"/>
    </row>
    <row r="6" spans="1:4" ht="78.75" customHeight="1">
      <c r="A6" s="42" t="s">
        <v>238</v>
      </c>
      <c r="B6" s="41"/>
      <c r="C6" s="41"/>
      <c r="D6" s="41"/>
    </row>
    <row r="7" spans="1:4" ht="18.75">
      <c r="A7" s="41" t="s">
        <v>239</v>
      </c>
      <c r="B7" s="41"/>
      <c r="C7" s="41"/>
      <c r="D7" s="41"/>
    </row>
    <row r="8" spans="1:4" ht="18.75">
      <c r="A8" s="41" t="s">
        <v>240</v>
      </c>
      <c r="B8" s="41"/>
      <c r="C8" s="41"/>
      <c r="D8" s="41"/>
    </row>
    <row r="9" spans="1:4" ht="18.75">
      <c r="A9" s="41" t="s">
        <v>257</v>
      </c>
      <c r="B9" s="41"/>
      <c r="C9" s="41"/>
      <c r="D9" s="41"/>
    </row>
    <row r="12" spans="1:4" ht="18.75">
      <c r="A12" s="38" t="s">
        <v>241</v>
      </c>
      <c r="B12" s="38"/>
      <c r="C12" s="38"/>
      <c r="D12" s="38"/>
    </row>
    <row r="13" spans="1:4" ht="18.75">
      <c r="A13" s="38" t="s">
        <v>172</v>
      </c>
      <c r="B13" s="38"/>
      <c r="C13" s="38"/>
      <c r="D13" s="38"/>
    </row>
    <row r="14" spans="1:4" ht="18.75">
      <c r="A14" s="38" t="s">
        <v>173</v>
      </c>
      <c r="B14" s="38"/>
      <c r="C14" s="38"/>
      <c r="D14" s="38"/>
    </row>
    <row r="15" spans="1:4" ht="18.75">
      <c r="A15" s="38" t="s">
        <v>174</v>
      </c>
      <c r="B15" s="38"/>
      <c r="C15" s="38"/>
      <c r="D15" s="38"/>
    </row>
    <row r="16" spans="1:4" ht="18.75">
      <c r="A16" s="38" t="s">
        <v>175</v>
      </c>
      <c r="B16" s="38"/>
      <c r="C16" s="38"/>
      <c r="D16" s="38"/>
    </row>
    <row r="17" spans="1:4" ht="18.75">
      <c r="A17" s="38" t="s">
        <v>230</v>
      </c>
      <c r="B17" s="38"/>
      <c r="C17" s="38"/>
      <c r="D17" s="38"/>
    </row>
    <row r="18" spans="1:4" ht="78" customHeight="1">
      <c r="A18" s="39" t="s">
        <v>203</v>
      </c>
      <c r="B18" s="39"/>
      <c r="C18" s="39"/>
      <c r="D18" s="39"/>
    </row>
    <row r="19" spans="1:4" ht="21" customHeight="1">
      <c r="A19" s="38" t="s">
        <v>233</v>
      </c>
      <c r="B19" s="38"/>
      <c r="C19" s="38"/>
      <c r="D19" s="38"/>
    </row>
    <row r="22" spans="1:4" s="2" customFormat="1" ht="138" customHeight="1">
      <c r="A22" s="40" t="s">
        <v>204</v>
      </c>
      <c r="B22" s="40"/>
      <c r="C22" s="40"/>
      <c r="D22" s="40"/>
    </row>
    <row r="23" spans="1:4" s="4" customFormat="1" ht="14.25" customHeight="1">
      <c r="A23" s="3"/>
      <c r="B23" s="3"/>
      <c r="C23" s="3"/>
      <c r="D23" s="3"/>
    </row>
    <row r="24" spans="1:4" ht="78" customHeight="1">
      <c r="A24" s="5" t="s">
        <v>101</v>
      </c>
      <c r="B24" s="5" t="s">
        <v>102</v>
      </c>
      <c r="C24" s="6" t="s">
        <v>103</v>
      </c>
      <c r="D24" s="7" t="s">
        <v>171</v>
      </c>
    </row>
    <row r="25" spans="1:4" s="34" customFormat="1" ht="18.75">
      <c r="A25" s="8">
        <v>1</v>
      </c>
      <c r="B25" s="8">
        <v>2</v>
      </c>
      <c r="C25" s="8">
        <v>3</v>
      </c>
      <c r="D25" s="9">
        <v>4</v>
      </c>
    </row>
    <row r="26" spans="1:4" s="13" customFormat="1" ht="61.5" customHeight="1">
      <c r="A26" s="10" t="s">
        <v>85</v>
      </c>
      <c r="B26" s="11" t="s">
        <v>0</v>
      </c>
      <c r="C26" s="11"/>
      <c r="D26" s="12">
        <f>D27+D30</f>
        <v>28915401.909999996</v>
      </c>
    </row>
    <row r="27" spans="1:4" s="14" customFormat="1" ht="61.5" customHeight="1">
      <c r="A27" s="10" t="s">
        <v>21</v>
      </c>
      <c r="B27" s="11" t="s">
        <v>1</v>
      </c>
      <c r="C27" s="11"/>
      <c r="D27" s="12">
        <f>D28</f>
        <v>100000</v>
      </c>
    </row>
    <row r="28" spans="1:4" s="18" customFormat="1" ht="56.25">
      <c r="A28" s="15" t="s">
        <v>20</v>
      </c>
      <c r="B28" s="16" t="s">
        <v>19</v>
      </c>
      <c r="C28" s="16"/>
      <c r="D28" s="17">
        <f>D29</f>
        <v>100000</v>
      </c>
    </row>
    <row r="29" spans="1:4" ht="135" customHeight="1">
      <c r="A29" s="19" t="s">
        <v>109</v>
      </c>
      <c r="B29" s="7" t="s">
        <v>65</v>
      </c>
      <c r="C29" s="7">
        <v>600</v>
      </c>
      <c r="D29" s="20">
        <f>100000</f>
        <v>100000</v>
      </c>
    </row>
    <row r="30" spans="1:4" s="14" customFormat="1" ht="62.25" customHeight="1">
      <c r="A30" s="10" t="s">
        <v>84</v>
      </c>
      <c r="B30" s="11" t="s">
        <v>2</v>
      </c>
      <c r="C30" s="11"/>
      <c r="D30" s="12">
        <f>D31</f>
        <v>28815401.909999996</v>
      </c>
    </row>
    <row r="31" spans="1:4" s="18" customFormat="1" ht="80.25" customHeight="1">
      <c r="A31" s="21" t="s">
        <v>24</v>
      </c>
      <c r="B31" s="16" t="s">
        <v>3</v>
      </c>
      <c r="C31" s="16"/>
      <c r="D31" s="17">
        <f>SUM(D32:D41)</f>
        <v>28815401.909999996</v>
      </c>
    </row>
    <row r="32" spans="1:4" ht="96.75" customHeight="1">
      <c r="A32" s="22" t="s">
        <v>110</v>
      </c>
      <c r="B32" s="7" t="s">
        <v>58</v>
      </c>
      <c r="C32" s="7">
        <v>600</v>
      </c>
      <c r="D32" s="20">
        <f>17969159.38+629176.57+58822.04</f>
        <v>18657157.99</v>
      </c>
    </row>
    <row r="33" spans="1:4" ht="58.5" customHeight="1">
      <c r="A33" s="19" t="s">
        <v>31</v>
      </c>
      <c r="B33" s="7" t="s">
        <v>57</v>
      </c>
      <c r="C33" s="7">
        <v>600</v>
      </c>
      <c r="D33" s="20">
        <f>33440</f>
        <v>33440</v>
      </c>
    </row>
    <row r="34" spans="1:4" ht="60" customHeight="1">
      <c r="A34" s="19" t="s">
        <v>32</v>
      </c>
      <c r="B34" s="7" t="s">
        <v>66</v>
      </c>
      <c r="C34" s="7">
        <v>600</v>
      </c>
      <c r="D34" s="20">
        <f>5280</f>
        <v>5280</v>
      </c>
    </row>
    <row r="35" spans="1:4" ht="81" customHeight="1">
      <c r="A35" s="19" t="s">
        <v>33</v>
      </c>
      <c r="B35" s="7" t="s">
        <v>67</v>
      </c>
      <c r="C35" s="7">
        <v>600</v>
      </c>
      <c r="D35" s="20">
        <f>200000+618928</f>
        <v>818928</v>
      </c>
    </row>
    <row r="36" spans="1:4" ht="80.25" customHeight="1">
      <c r="A36" s="22" t="s">
        <v>34</v>
      </c>
      <c r="B36" s="7" t="s">
        <v>68</v>
      </c>
      <c r="C36" s="7">
        <v>200</v>
      </c>
      <c r="D36" s="20">
        <f>77000</f>
        <v>77000</v>
      </c>
    </row>
    <row r="37" spans="1:4" ht="99" customHeight="1">
      <c r="A37" s="22" t="s">
        <v>124</v>
      </c>
      <c r="B37" s="7" t="s">
        <v>125</v>
      </c>
      <c r="C37" s="7">
        <v>600</v>
      </c>
      <c r="D37" s="20">
        <f>150000</f>
        <v>150000</v>
      </c>
    </row>
    <row r="38" spans="1:4" ht="100.5" customHeight="1">
      <c r="A38" s="22" t="s">
        <v>154</v>
      </c>
      <c r="B38" s="7" t="s">
        <v>155</v>
      </c>
      <c r="C38" s="7">
        <v>200</v>
      </c>
      <c r="D38" s="20">
        <f>73000</f>
        <v>73000</v>
      </c>
    </row>
    <row r="39" spans="1:4" ht="136.5" customHeight="1">
      <c r="A39" s="19" t="s">
        <v>217</v>
      </c>
      <c r="B39" s="7" t="s">
        <v>218</v>
      </c>
      <c r="C39" s="7">
        <v>600</v>
      </c>
      <c r="D39" s="36">
        <f>6959284-478339</f>
        <v>6480945</v>
      </c>
    </row>
    <row r="40" spans="1:4" ht="140.25" customHeight="1">
      <c r="A40" s="22" t="s">
        <v>196</v>
      </c>
      <c r="B40" s="7" t="s">
        <v>59</v>
      </c>
      <c r="C40" s="7">
        <v>600</v>
      </c>
      <c r="D40" s="20">
        <f>1121650.92</f>
        <v>1121650.92</v>
      </c>
    </row>
    <row r="41" spans="1:5" ht="97.5" customHeight="1">
      <c r="A41" s="22" t="s">
        <v>219</v>
      </c>
      <c r="B41" s="7" t="s">
        <v>220</v>
      </c>
      <c r="C41" s="7">
        <v>600</v>
      </c>
      <c r="D41" s="36">
        <f>1328100+69900</f>
        <v>1398000</v>
      </c>
      <c r="E41" s="35"/>
    </row>
    <row r="42" spans="1:4" s="14" customFormat="1" ht="79.5" customHeight="1">
      <c r="A42" s="10" t="s">
        <v>86</v>
      </c>
      <c r="B42" s="11" t="s">
        <v>4</v>
      </c>
      <c r="C42" s="11"/>
      <c r="D42" s="12">
        <f>D43+D54+D74+D85+D89+D92+D102+D106</f>
        <v>76634128.73</v>
      </c>
    </row>
    <row r="43" spans="1:4" s="14" customFormat="1" ht="59.25" customHeight="1">
      <c r="A43" s="10" t="s">
        <v>36</v>
      </c>
      <c r="B43" s="11" t="s">
        <v>5</v>
      </c>
      <c r="C43" s="11"/>
      <c r="D43" s="12">
        <f>D44+D52</f>
        <v>2376667.92</v>
      </c>
    </row>
    <row r="44" spans="1:4" s="18" customFormat="1" ht="78.75" customHeight="1">
      <c r="A44" s="21" t="s">
        <v>25</v>
      </c>
      <c r="B44" s="16" t="s">
        <v>6</v>
      </c>
      <c r="C44" s="16"/>
      <c r="D44" s="17">
        <f>SUM(D45:E51)</f>
        <v>2350364.69</v>
      </c>
    </row>
    <row r="45" spans="1:4" ht="81" customHeight="1">
      <c r="A45" s="22" t="s">
        <v>37</v>
      </c>
      <c r="B45" s="7" t="s">
        <v>60</v>
      </c>
      <c r="C45" s="7">
        <v>200</v>
      </c>
      <c r="D45" s="20">
        <f>150000</f>
        <v>150000</v>
      </c>
    </row>
    <row r="46" spans="1:4" ht="117" customHeight="1">
      <c r="A46" s="22" t="s">
        <v>79</v>
      </c>
      <c r="B46" s="7" t="s">
        <v>69</v>
      </c>
      <c r="C46" s="7">
        <v>200</v>
      </c>
      <c r="D46" s="20">
        <f>1000000</f>
        <v>1000000</v>
      </c>
    </row>
    <row r="47" spans="1:4" ht="78.75" customHeight="1">
      <c r="A47" s="22" t="s">
        <v>96</v>
      </c>
      <c r="B47" s="7" t="s">
        <v>97</v>
      </c>
      <c r="C47" s="7">
        <v>200</v>
      </c>
      <c r="D47" s="20">
        <f>107179.2</f>
        <v>107179.2</v>
      </c>
    </row>
    <row r="48" spans="1:4" ht="80.25" customHeight="1">
      <c r="A48" s="22" t="s">
        <v>118</v>
      </c>
      <c r="B48" s="7" t="s">
        <v>119</v>
      </c>
      <c r="C48" s="7">
        <v>200</v>
      </c>
      <c r="D48" s="20">
        <f>353572</f>
        <v>353572</v>
      </c>
    </row>
    <row r="49" spans="1:4" ht="141.75" customHeight="1">
      <c r="A49" s="19" t="s">
        <v>120</v>
      </c>
      <c r="B49" s="7" t="s">
        <v>121</v>
      </c>
      <c r="C49" s="7">
        <v>200</v>
      </c>
      <c r="D49" s="20">
        <f>300000-73510.82</f>
        <v>226489.18</v>
      </c>
    </row>
    <row r="50" spans="1:4" ht="349.5" customHeight="1">
      <c r="A50" s="19" t="s">
        <v>213</v>
      </c>
      <c r="B50" s="7" t="s">
        <v>214</v>
      </c>
      <c r="C50" s="7">
        <v>200</v>
      </c>
      <c r="D50" s="20">
        <f>47207.59</f>
        <v>47207.59</v>
      </c>
    </row>
    <row r="51" spans="1:4" ht="270" customHeight="1">
      <c r="A51" s="19" t="s">
        <v>128</v>
      </c>
      <c r="B51" s="7" t="s">
        <v>129</v>
      </c>
      <c r="C51" s="7">
        <v>800</v>
      </c>
      <c r="D51" s="20">
        <f>465916.72</f>
        <v>465916.72</v>
      </c>
    </row>
    <row r="52" spans="1:4" s="18" customFormat="1" ht="42" customHeight="1">
      <c r="A52" s="21" t="s">
        <v>209</v>
      </c>
      <c r="B52" s="16" t="s">
        <v>212</v>
      </c>
      <c r="C52" s="16"/>
      <c r="D52" s="17">
        <f>D53</f>
        <v>26303.23</v>
      </c>
    </row>
    <row r="53" spans="1:4" ht="119.25" customHeight="1">
      <c r="A53" s="19" t="s">
        <v>210</v>
      </c>
      <c r="B53" s="7" t="s">
        <v>211</v>
      </c>
      <c r="C53" s="7">
        <v>200</v>
      </c>
      <c r="D53" s="20">
        <f>26303.23</f>
        <v>26303.23</v>
      </c>
    </row>
    <row r="54" spans="1:4" s="24" customFormat="1" ht="40.5" customHeight="1">
      <c r="A54" s="10" t="s">
        <v>38</v>
      </c>
      <c r="B54" s="11" t="s">
        <v>7</v>
      </c>
      <c r="C54" s="23"/>
      <c r="D54" s="12">
        <f>D55</f>
        <v>20256028.43</v>
      </c>
    </row>
    <row r="55" spans="1:4" s="18" customFormat="1" ht="56.25">
      <c r="A55" s="21" t="s">
        <v>35</v>
      </c>
      <c r="B55" s="16" t="s">
        <v>8</v>
      </c>
      <c r="C55" s="16"/>
      <c r="D55" s="17">
        <f>SUM(D56:D73)</f>
        <v>20256028.43</v>
      </c>
    </row>
    <row r="56" spans="1:4" ht="117" customHeight="1">
      <c r="A56" s="22" t="s">
        <v>83</v>
      </c>
      <c r="B56" s="7" t="s">
        <v>61</v>
      </c>
      <c r="C56" s="7">
        <v>200</v>
      </c>
      <c r="D56" s="20">
        <f>2425948.79-190000</f>
        <v>2235948.79</v>
      </c>
    </row>
    <row r="57" spans="1:4" ht="97.5" customHeight="1">
      <c r="A57" s="22" t="s">
        <v>165</v>
      </c>
      <c r="B57" s="7" t="s">
        <v>164</v>
      </c>
      <c r="C57" s="7">
        <v>200</v>
      </c>
      <c r="D57" s="20">
        <f>1857770.12</f>
        <v>1857770.12</v>
      </c>
    </row>
    <row r="58" spans="1:4" ht="96.75" customHeight="1">
      <c r="A58" s="22" t="s">
        <v>111</v>
      </c>
      <c r="B58" s="7" t="s">
        <v>70</v>
      </c>
      <c r="C58" s="7">
        <v>200</v>
      </c>
      <c r="D58" s="20">
        <f>1200000+73793.59-831140</f>
        <v>442653.5900000001</v>
      </c>
    </row>
    <row r="59" spans="1:4" ht="62.25" customHeight="1">
      <c r="A59" s="22" t="s">
        <v>112</v>
      </c>
      <c r="B59" s="7" t="s">
        <v>71</v>
      </c>
      <c r="C59" s="7">
        <v>200</v>
      </c>
      <c r="D59" s="20">
        <f>142242.06</f>
        <v>142242.06</v>
      </c>
    </row>
    <row r="60" spans="1:4" ht="62.25" customHeight="1">
      <c r="A60" s="22" t="s">
        <v>207</v>
      </c>
      <c r="B60" s="7" t="s">
        <v>208</v>
      </c>
      <c r="C60" s="7">
        <v>200</v>
      </c>
      <c r="D60" s="20">
        <f>267399.46</f>
        <v>267399.46</v>
      </c>
    </row>
    <row r="61" spans="1:4" ht="81" customHeight="1">
      <c r="A61" s="22" t="s">
        <v>122</v>
      </c>
      <c r="B61" s="7" t="s">
        <v>123</v>
      </c>
      <c r="C61" s="7">
        <v>200</v>
      </c>
      <c r="D61" s="20">
        <f>525000-19440</f>
        <v>505560</v>
      </c>
    </row>
    <row r="62" spans="1:4" ht="134.25" customHeight="1">
      <c r="A62" s="19" t="s">
        <v>169</v>
      </c>
      <c r="B62" s="7" t="s">
        <v>168</v>
      </c>
      <c r="C62" s="7">
        <v>200</v>
      </c>
      <c r="D62" s="20">
        <f>239800</f>
        <v>239800</v>
      </c>
    </row>
    <row r="63" spans="1:4" ht="79.5" customHeight="1">
      <c r="A63" s="19" t="s">
        <v>138</v>
      </c>
      <c r="B63" s="25" t="s">
        <v>170</v>
      </c>
      <c r="C63" s="7">
        <v>200</v>
      </c>
      <c r="D63" s="20">
        <f>430803</f>
        <v>430803</v>
      </c>
    </row>
    <row r="64" spans="1:4" ht="158.25" customHeight="1">
      <c r="A64" s="19" t="s">
        <v>244</v>
      </c>
      <c r="B64" s="25" t="s">
        <v>243</v>
      </c>
      <c r="C64" s="7">
        <v>200</v>
      </c>
      <c r="D64" s="20">
        <f>19440</f>
        <v>19440</v>
      </c>
    </row>
    <row r="65" spans="1:4" ht="65.25" customHeight="1">
      <c r="A65" s="19" t="s">
        <v>133</v>
      </c>
      <c r="B65" s="7" t="s">
        <v>141</v>
      </c>
      <c r="C65" s="7">
        <v>200</v>
      </c>
      <c r="D65" s="20">
        <f>200000</f>
        <v>200000</v>
      </c>
    </row>
    <row r="66" spans="1:4" ht="97.5" customHeight="1">
      <c r="A66" s="19" t="s">
        <v>181</v>
      </c>
      <c r="B66" s="7" t="s">
        <v>180</v>
      </c>
      <c r="C66" s="7">
        <v>200</v>
      </c>
      <c r="D66" s="20">
        <f>3511660</f>
        <v>3511660</v>
      </c>
    </row>
    <row r="67" spans="1:4" ht="97.5" customHeight="1">
      <c r="A67" s="19" t="s">
        <v>184</v>
      </c>
      <c r="B67" s="7" t="s">
        <v>185</v>
      </c>
      <c r="C67" s="7">
        <v>200</v>
      </c>
      <c r="D67" s="20">
        <f>2200000</f>
        <v>2200000</v>
      </c>
    </row>
    <row r="68" spans="1:4" ht="153.75" customHeight="1">
      <c r="A68" s="19" t="s">
        <v>195</v>
      </c>
      <c r="B68" s="7" t="s">
        <v>186</v>
      </c>
      <c r="C68" s="7">
        <v>200</v>
      </c>
      <c r="D68" s="20">
        <f>650000</f>
        <v>650000</v>
      </c>
    </row>
    <row r="69" spans="1:4" ht="97.5" customHeight="1">
      <c r="A69" s="19" t="s">
        <v>187</v>
      </c>
      <c r="B69" s="7" t="s">
        <v>188</v>
      </c>
      <c r="C69" s="7">
        <v>200</v>
      </c>
      <c r="D69" s="20">
        <f>4300000+1480596.03+447015.38</f>
        <v>6227611.41</v>
      </c>
    </row>
    <row r="70" spans="1:4" ht="117" customHeight="1">
      <c r="A70" s="19" t="s">
        <v>192</v>
      </c>
      <c r="B70" s="7" t="s">
        <v>191</v>
      </c>
      <c r="C70" s="7">
        <v>200</v>
      </c>
      <c r="D70" s="20">
        <f>218000</f>
        <v>218000</v>
      </c>
    </row>
    <row r="71" spans="1:4" ht="97.5" customHeight="1">
      <c r="A71" s="19" t="s">
        <v>194</v>
      </c>
      <c r="B71" s="7" t="s">
        <v>193</v>
      </c>
      <c r="C71" s="7">
        <v>200</v>
      </c>
      <c r="D71" s="20">
        <f>86000</f>
        <v>86000</v>
      </c>
    </row>
    <row r="72" spans="1:4" ht="97.5" customHeight="1">
      <c r="A72" s="19" t="s">
        <v>225</v>
      </c>
      <c r="B72" s="7" t="s">
        <v>226</v>
      </c>
      <c r="C72" s="7">
        <v>200</v>
      </c>
      <c r="D72" s="20">
        <f>190000</f>
        <v>190000</v>
      </c>
    </row>
    <row r="73" spans="1:4" ht="81" customHeight="1">
      <c r="A73" s="19" t="s">
        <v>246</v>
      </c>
      <c r="B73" s="7" t="s">
        <v>245</v>
      </c>
      <c r="C73" s="7">
        <v>400</v>
      </c>
      <c r="D73" s="20">
        <f>831140</f>
        <v>831140</v>
      </c>
    </row>
    <row r="74" spans="1:4" s="14" customFormat="1" ht="58.5" customHeight="1">
      <c r="A74" s="10" t="s">
        <v>80</v>
      </c>
      <c r="B74" s="11" t="s">
        <v>9</v>
      </c>
      <c r="C74" s="11"/>
      <c r="D74" s="12">
        <f>D75+D83</f>
        <v>45183291.63</v>
      </c>
    </row>
    <row r="75" spans="1:4" s="24" customFormat="1" ht="56.25">
      <c r="A75" s="21" t="s">
        <v>26</v>
      </c>
      <c r="B75" s="16" t="s">
        <v>10</v>
      </c>
      <c r="C75" s="16"/>
      <c r="D75" s="17">
        <f>SUM(D76:D82)</f>
        <v>41289069.35</v>
      </c>
    </row>
    <row r="76" spans="1:4" s="24" customFormat="1" ht="135.75" customHeight="1">
      <c r="A76" s="19" t="s">
        <v>152</v>
      </c>
      <c r="B76" s="7" t="s">
        <v>153</v>
      </c>
      <c r="C76" s="7">
        <v>200</v>
      </c>
      <c r="D76" s="20">
        <f>4986812.57+3883687.92-830805.44-69900-5000000-2167899.1</f>
        <v>801895.9500000007</v>
      </c>
    </row>
    <row r="77" spans="1:4" s="24" customFormat="1" ht="134.25" customHeight="1">
      <c r="A77" s="19" t="s">
        <v>167</v>
      </c>
      <c r="B77" s="7" t="s">
        <v>166</v>
      </c>
      <c r="C77" s="7">
        <v>200</v>
      </c>
      <c r="D77" s="20">
        <f>628000+309166.58</f>
        <v>937166.5800000001</v>
      </c>
    </row>
    <row r="78" spans="1:4" s="24" customFormat="1" ht="99" customHeight="1">
      <c r="A78" s="19" t="s">
        <v>156</v>
      </c>
      <c r="B78" s="7" t="s">
        <v>157</v>
      </c>
      <c r="C78" s="7">
        <v>200</v>
      </c>
      <c r="D78" s="20">
        <f>80000</f>
        <v>80000</v>
      </c>
    </row>
    <row r="79" spans="1:4" ht="289.5" customHeight="1">
      <c r="A79" s="19" t="s">
        <v>142</v>
      </c>
      <c r="B79" s="7" t="s">
        <v>143</v>
      </c>
      <c r="C79" s="7">
        <v>200</v>
      </c>
      <c r="D79" s="20">
        <f>8807573.09+1987500</f>
        <v>10795073.09</v>
      </c>
    </row>
    <row r="80" spans="1:4" ht="120.75" customHeight="1">
      <c r="A80" s="19" t="s">
        <v>250</v>
      </c>
      <c r="B80" s="7" t="s">
        <v>247</v>
      </c>
      <c r="C80" s="7">
        <v>400</v>
      </c>
      <c r="D80" s="20">
        <f>4038984.96</f>
        <v>4038984.96</v>
      </c>
    </row>
    <row r="81" spans="1:4" ht="124.5" customHeight="1">
      <c r="A81" s="19" t="s">
        <v>249</v>
      </c>
      <c r="B81" s="7" t="s">
        <v>248</v>
      </c>
      <c r="C81" s="7">
        <v>400</v>
      </c>
      <c r="D81" s="20">
        <f>3019840</f>
        <v>3019840</v>
      </c>
    </row>
    <row r="82" spans="1:5" ht="158.25" customHeight="1">
      <c r="A82" s="19" t="s">
        <v>215</v>
      </c>
      <c r="B82" s="7" t="s">
        <v>216</v>
      </c>
      <c r="C82" s="7">
        <v>200</v>
      </c>
      <c r="D82" s="36">
        <f>15785303.33+830805.44+5000000</f>
        <v>21616108.77</v>
      </c>
      <c r="E82" s="35"/>
    </row>
    <row r="83" spans="1:4" s="18" customFormat="1" ht="42.75" customHeight="1">
      <c r="A83" s="21" t="s">
        <v>197</v>
      </c>
      <c r="B83" s="16" t="s">
        <v>108</v>
      </c>
      <c r="C83" s="16"/>
      <c r="D83" s="17">
        <f>SUM(D84)</f>
        <v>3894222.2800000003</v>
      </c>
    </row>
    <row r="84" spans="1:4" ht="116.25" customHeight="1">
      <c r="A84" s="22" t="s">
        <v>198</v>
      </c>
      <c r="B84" s="7" t="s">
        <v>199</v>
      </c>
      <c r="C84" s="7">
        <v>200</v>
      </c>
      <c r="D84" s="20">
        <f>3514208.08+380014.2</f>
        <v>3894222.2800000003</v>
      </c>
    </row>
    <row r="85" spans="1:4" s="14" customFormat="1" ht="60.75" customHeight="1">
      <c r="A85" s="10" t="s">
        <v>81</v>
      </c>
      <c r="B85" s="11" t="s">
        <v>22</v>
      </c>
      <c r="C85" s="11"/>
      <c r="D85" s="12">
        <f>D86</f>
        <v>1189044</v>
      </c>
    </row>
    <row r="86" spans="1:4" s="18" customFormat="1" ht="39.75" customHeight="1">
      <c r="A86" s="21" t="s">
        <v>28</v>
      </c>
      <c r="B86" s="16" t="s">
        <v>23</v>
      </c>
      <c r="C86" s="16"/>
      <c r="D86" s="17">
        <f>SUM(D87:D88)</f>
        <v>1189044</v>
      </c>
    </row>
    <row r="87" spans="1:4" ht="78" customHeight="1">
      <c r="A87" s="22" t="s">
        <v>39</v>
      </c>
      <c r="B87" s="7" t="s">
        <v>72</v>
      </c>
      <c r="C87" s="7">
        <v>200</v>
      </c>
      <c r="D87" s="20">
        <f>389044</f>
        <v>389044</v>
      </c>
    </row>
    <row r="88" spans="1:4" ht="77.25" customHeight="1">
      <c r="A88" s="22" t="s">
        <v>140</v>
      </c>
      <c r="B88" s="7" t="s">
        <v>139</v>
      </c>
      <c r="C88" s="7">
        <v>200</v>
      </c>
      <c r="D88" s="20">
        <f>800000</f>
        <v>800000</v>
      </c>
    </row>
    <row r="89" spans="1:4" s="14" customFormat="1" ht="117.75" customHeight="1">
      <c r="A89" s="10" t="s">
        <v>114</v>
      </c>
      <c r="B89" s="11" t="s">
        <v>40</v>
      </c>
      <c r="C89" s="11"/>
      <c r="D89" s="12">
        <f>D90</f>
        <v>2400000</v>
      </c>
    </row>
    <row r="90" spans="1:4" s="18" customFormat="1" ht="60.75" customHeight="1">
      <c r="A90" s="21" t="s">
        <v>42</v>
      </c>
      <c r="B90" s="16" t="s">
        <v>41</v>
      </c>
      <c r="C90" s="16"/>
      <c r="D90" s="17">
        <f>D91</f>
        <v>2400000</v>
      </c>
    </row>
    <row r="91" spans="1:4" ht="116.25" customHeight="1">
      <c r="A91" s="19" t="s">
        <v>113</v>
      </c>
      <c r="B91" s="7" t="s">
        <v>64</v>
      </c>
      <c r="C91" s="7">
        <v>800</v>
      </c>
      <c r="D91" s="20">
        <f>2400000</f>
        <v>2400000</v>
      </c>
    </row>
    <row r="92" spans="1:4" s="24" customFormat="1" ht="60" customHeight="1">
      <c r="A92" s="10" t="s">
        <v>45</v>
      </c>
      <c r="B92" s="11" t="s">
        <v>46</v>
      </c>
      <c r="C92" s="11"/>
      <c r="D92" s="12">
        <f>D93+D97+D99</f>
        <v>384000</v>
      </c>
    </row>
    <row r="93" spans="1:4" s="24" customFormat="1" ht="42" customHeight="1">
      <c r="A93" s="21" t="s">
        <v>47</v>
      </c>
      <c r="B93" s="16" t="s">
        <v>43</v>
      </c>
      <c r="C93" s="16"/>
      <c r="D93" s="17">
        <f>SUM(D94:D96)</f>
        <v>124000</v>
      </c>
    </row>
    <row r="94" spans="1:4" ht="98.25" customHeight="1">
      <c r="A94" s="22" t="s">
        <v>48</v>
      </c>
      <c r="B94" s="7" t="s">
        <v>73</v>
      </c>
      <c r="C94" s="7">
        <v>200</v>
      </c>
      <c r="D94" s="20">
        <f>9000</f>
        <v>9000</v>
      </c>
    </row>
    <row r="95" spans="1:4" ht="80.25" customHeight="1">
      <c r="A95" s="22" t="s">
        <v>182</v>
      </c>
      <c r="B95" s="7" t="s">
        <v>178</v>
      </c>
      <c r="C95" s="7">
        <v>200</v>
      </c>
      <c r="D95" s="20">
        <f>25000</f>
        <v>25000</v>
      </c>
    </row>
    <row r="96" spans="1:4" ht="138" customHeight="1">
      <c r="A96" s="22" t="s">
        <v>183</v>
      </c>
      <c r="B96" s="7" t="s">
        <v>179</v>
      </c>
      <c r="C96" s="7">
        <v>200</v>
      </c>
      <c r="D96" s="20">
        <f>90000</f>
        <v>90000</v>
      </c>
    </row>
    <row r="97" spans="1:4" s="18" customFormat="1" ht="43.5" customHeight="1">
      <c r="A97" s="21" t="s">
        <v>27</v>
      </c>
      <c r="B97" s="16" t="s">
        <v>53</v>
      </c>
      <c r="C97" s="16"/>
      <c r="D97" s="17">
        <f>D98</f>
        <v>60000</v>
      </c>
    </row>
    <row r="98" spans="1:4" ht="96.75" customHeight="1">
      <c r="A98" s="22" t="s">
        <v>44</v>
      </c>
      <c r="B98" s="7" t="s">
        <v>74</v>
      </c>
      <c r="C98" s="7">
        <v>200</v>
      </c>
      <c r="D98" s="20">
        <f>60000</f>
        <v>60000</v>
      </c>
    </row>
    <row r="99" spans="1:4" s="18" customFormat="1" ht="79.5" customHeight="1">
      <c r="A99" s="21" t="s">
        <v>132</v>
      </c>
      <c r="B99" s="16" t="s">
        <v>98</v>
      </c>
      <c r="C99" s="16"/>
      <c r="D99" s="17">
        <f>SUM(D100:D101)</f>
        <v>200000</v>
      </c>
    </row>
    <row r="100" spans="1:4" ht="117" customHeight="1">
      <c r="A100" s="22" t="s">
        <v>99</v>
      </c>
      <c r="B100" s="7" t="s">
        <v>100</v>
      </c>
      <c r="C100" s="7">
        <v>200</v>
      </c>
      <c r="D100" s="20">
        <f>100000</f>
        <v>100000</v>
      </c>
    </row>
    <row r="101" spans="1:4" ht="78" customHeight="1">
      <c r="A101" s="22" t="s">
        <v>137</v>
      </c>
      <c r="B101" s="7" t="s">
        <v>136</v>
      </c>
      <c r="C101" s="7">
        <v>200</v>
      </c>
      <c r="D101" s="20">
        <f>100000</f>
        <v>100000</v>
      </c>
    </row>
    <row r="102" spans="1:4" s="24" customFormat="1" ht="117.75" customHeight="1">
      <c r="A102" s="10" t="s">
        <v>89</v>
      </c>
      <c r="B102" s="11" t="s">
        <v>90</v>
      </c>
      <c r="C102" s="11"/>
      <c r="D102" s="12">
        <f>D103</f>
        <v>4505096.75</v>
      </c>
    </row>
    <row r="103" spans="1:4" s="18" customFormat="1" ht="77.25" customHeight="1">
      <c r="A103" s="21" t="s">
        <v>91</v>
      </c>
      <c r="B103" s="16" t="s">
        <v>92</v>
      </c>
      <c r="C103" s="16"/>
      <c r="D103" s="17">
        <f>SUM(D104:D105)</f>
        <v>4505096.75</v>
      </c>
    </row>
    <row r="104" spans="1:4" ht="138.75" customHeight="1">
      <c r="A104" s="19" t="s">
        <v>93</v>
      </c>
      <c r="B104" s="7" t="s">
        <v>94</v>
      </c>
      <c r="C104" s="7">
        <v>100</v>
      </c>
      <c r="D104" s="20">
        <f>4011304.2+271090.08+97424.47</f>
        <v>4379818.75</v>
      </c>
    </row>
    <row r="105" spans="1:4" ht="100.5" customHeight="1">
      <c r="A105" s="22" t="s">
        <v>95</v>
      </c>
      <c r="B105" s="7" t="s">
        <v>94</v>
      </c>
      <c r="C105" s="7">
        <v>200</v>
      </c>
      <c r="D105" s="20">
        <f>125278</f>
        <v>125278</v>
      </c>
    </row>
    <row r="106" spans="1:4" s="14" customFormat="1" ht="59.25" customHeight="1">
      <c r="A106" s="10" t="s">
        <v>146</v>
      </c>
      <c r="B106" s="11" t="s">
        <v>147</v>
      </c>
      <c r="C106" s="11"/>
      <c r="D106" s="12">
        <f>D107</f>
        <v>340000</v>
      </c>
    </row>
    <row r="107" spans="1:4" s="18" customFormat="1" ht="59.25" customHeight="1">
      <c r="A107" s="21" t="s">
        <v>148</v>
      </c>
      <c r="B107" s="16" t="s">
        <v>149</v>
      </c>
      <c r="C107" s="16"/>
      <c r="D107" s="17">
        <f>D108</f>
        <v>340000</v>
      </c>
    </row>
    <row r="108" spans="1:4" ht="117.75" customHeight="1">
      <c r="A108" s="22" t="s">
        <v>161</v>
      </c>
      <c r="B108" s="7" t="s">
        <v>158</v>
      </c>
      <c r="C108" s="7">
        <v>800</v>
      </c>
      <c r="D108" s="20">
        <f>340000</f>
        <v>340000</v>
      </c>
    </row>
    <row r="109" spans="1:4" s="14" customFormat="1" ht="41.25" customHeight="1">
      <c r="A109" s="10" t="s">
        <v>87</v>
      </c>
      <c r="B109" s="11" t="s">
        <v>11</v>
      </c>
      <c r="C109" s="11"/>
      <c r="D109" s="12">
        <f>D110+D114</f>
        <v>781000</v>
      </c>
    </row>
    <row r="110" spans="1:4" s="14" customFormat="1" ht="95.25" customHeight="1">
      <c r="A110" s="10" t="s">
        <v>88</v>
      </c>
      <c r="B110" s="11" t="s">
        <v>12</v>
      </c>
      <c r="C110" s="11"/>
      <c r="D110" s="12">
        <f>D111</f>
        <v>201500</v>
      </c>
    </row>
    <row r="111" spans="1:4" s="24" customFormat="1" ht="56.25">
      <c r="A111" s="21" t="s">
        <v>54</v>
      </c>
      <c r="B111" s="16" t="s">
        <v>13</v>
      </c>
      <c r="C111" s="16"/>
      <c r="D111" s="17">
        <f>SUM(D112:D113)</f>
        <v>201500</v>
      </c>
    </row>
    <row r="112" spans="1:4" s="24" customFormat="1" ht="99" customHeight="1">
      <c r="A112" s="22" t="s">
        <v>49</v>
      </c>
      <c r="B112" s="7" t="s">
        <v>75</v>
      </c>
      <c r="C112" s="7">
        <v>200</v>
      </c>
      <c r="D112" s="20">
        <f>1500</f>
        <v>1500</v>
      </c>
    </row>
    <row r="113" spans="1:4" s="14" customFormat="1" ht="117.75" customHeight="1">
      <c r="A113" s="22" t="s">
        <v>131</v>
      </c>
      <c r="B113" s="7" t="s">
        <v>130</v>
      </c>
      <c r="C113" s="7">
        <v>200</v>
      </c>
      <c r="D113" s="20">
        <f>200000</f>
        <v>200000</v>
      </c>
    </row>
    <row r="114" spans="1:4" s="14" customFormat="1" ht="82.5" customHeight="1">
      <c r="A114" s="10" t="s">
        <v>50</v>
      </c>
      <c r="B114" s="11" t="s">
        <v>14</v>
      </c>
      <c r="C114" s="11"/>
      <c r="D114" s="12">
        <f>D115</f>
        <v>579500</v>
      </c>
    </row>
    <row r="115" spans="1:4" s="24" customFormat="1" ht="59.25" customHeight="1">
      <c r="A115" s="21" t="s">
        <v>55</v>
      </c>
      <c r="B115" s="16" t="s">
        <v>15</v>
      </c>
      <c r="C115" s="16"/>
      <c r="D115" s="17">
        <f>SUM(D116:D118)</f>
        <v>579500</v>
      </c>
    </row>
    <row r="116" spans="1:4" ht="99.75" customHeight="1">
      <c r="A116" s="22" t="s">
        <v>51</v>
      </c>
      <c r="B116" s="7" t="s">
        <v>76</v>
      </c>
      <c r="C116" s="7">
        <v>200</v>
      </c>
      <c r="D116" s="20">
        <f>261500</f>
        <v>261500</v>
      </c>
    </row>
    <row r="117" spans="1:4" ht="135.75" customHeight="1">
      <c r="A117" s="22" t="s">
        <v>56</v>
      </c>
      <c r="B117" s="7" t="s">
        <v>77</v>
      </c>
      <c r="C117" s="7">
        <v>200</v>
      </c>
      <c r="D117" s="20">
        <f>12000+6000</f>
        <v>18000</v>
      </c>
    </row>
    <row r="118" spans="1:4" ht="61.5" customHeight="1">
      <c r="A118" s="22" t="s">
        <v>52</v>
      </c>
      <c r="B118" s="7" t="s">
        <v>78</v>
      </c>
      <c r="C118" s="7">
        <v>800</v>
      </c>
      <c r="D118" s="20">
        <f>300000</f>
        <v>300000</v>
      </c>
    </row>
    <row r="119" spans="1:4" s="14" customFormat="1" ht="81" customHeight="1">
      <c r="A119" s="10" t="s">
        <v>144</v>
      </c>
      <c r="B119" s="11" t="s">
        <v>145</v>
      </c>
      <c r="C119" s="11"/>
      <c r="D119" s="12">
        <f>D120</f>
        <v>2926742.0200000005</v>
      </c>
    </row>
    <row r="120" spans="1:4" s="14" customFormat="1" ht="41.25" customHeight="1">
      <c r="A120" s="10" t="s">
        <v>150</v>
      </c>
      <c r="B120" s="11" t="s">
        <v>151</v>
      </c>
      <c r="C120" s="11"/>
      <c r="D120" s="12">
        <f>D121+D123</f>
        <v>2926742.0200000005</v>
      </c>
    </row>
    <row r="121" spans="1:4" s="14" customFormat="1" ht="41.25" customHeight="1">
      <c r="A121" s="21" t="s">
        <v>159</v>
      </c>
      <c r="B121" s="16" t="s">
        <v>160</v>
      </c>
      <c r="C121" s="23"/>
      <c r="D121" s="17">
        <f>SUM(D122:E122)</f>
        <v>217776.74</v>
      </c>
    </row>
    <row r="122" spans="1:4" s="14" customFormat="1" ht="155.25" customHeight="1">
      <c r="A122" s="22" t="s">
        <v>163</v>
      </c>
      <c r="B122" s="7" t="s">
        <v>162</v>
      </c>
      <c r="C122" s="7">
        <v>200</v>
      </c>
      <c r="D122" s="20">
        <f>218840-1063.26</f>
        <v>217776.74</v>
      </c>
    </row>
    <row r="123" spans="1:4" s="24" customFormat="1" ht="39.75" customHeight="1">
      <c r="A123" s="21" t="s">
        <v>221</v>
      </c>
      <c r="B123" s="16" t="s">
        <v>222</v>
      </c>
      <c r="C123" s="16"/>
      <c r="D123" s="17">
        <f>SUM(D124:D125)</f>
        <v>2708965.2800000003</v>
      </c>
    </row>
    <row r="124" spans="1:4" s="14" customFormat="1" ht="79.5" customHeight="1">
      <c r="A124" s="22" t="s">
        <v>223</v>
      </c>
      <c r="B124" s="7" t="s">
        <v>224</v>
      </c>
      <c r="C124" s="7">
        <v>200</v>
      </c>
      <c r="D124" s="20">
        <f>2020202.02+1063.26</f>
        <v>2021265.28</v>
      </c>
    </row>
    <row r="125" spans="1:4" s="14" customFormat="1" ht="114" customHeight="1">
      <c r="A125" s="22" t="s">
        <v>228</v>
      </c>
      <c r="B125" s="7" t="s">
        <v>227</v>
      </c>
      <c r="C125" s="7">
        <v>200</v>
      </c>
      <c r="D125" s="20">
        <f>600000+87700</f>
        <v>687700</v>
      </c>
    </row>
    <row r="126" spans="1:4" s="13" customFormat="1" ht="39.75" customHeight="1">
      <c r="A126" s="26" t="s">
        <v>106</v>
      </c>
      <c r="B126" s="11" t="s">
        <v>107</v>
      </c>
      <c r="C126" s="11"/>
      <c r="D126" s="12">
        <f>D127</f>
        <v>3165891.55</v>
      </c>
    </row>
    <row r="127" spans="1:4" s="14" customFormat="1" ht="58.5" customHeight="1">
      <c r="A127" s="10" t="s">
        <v>29</v>
      </c>
      <c r="B127" s="11" t="s">
        <v>16</v>
      </c>
      <c r="C127" s="11"/>
      <c r="D127" s="12">
        <f>SUM(D128:D132)</f>
        <v>3165891.55</v>
      </c>
    </row>
    <row r="128" spans="1:4" ht="138.75" customHeight="1">
      <c r="A128" s="22" t="s">
        <v>229</v>
      </c>
      <c r="B128" s="7" t="s">
        <v>17</v>
      </c>
      <c r="C128" s="7">
        <v>100</v>
      </c>
      <c r="D128" s="20">
        <f>1021096.46+23229.95</f>
        <v>1044326.4099999999</v>
      </c>
    </row>
    <row r="129" spans="1:4" ht="137.25" customHeight="1">
      <c r="A129" s="22" t="s">
        <v>231</v>
      </c>
      <c r="B129" s="7" t="s">
        <v>62</v>
      </c>
      <c r="C129" s="7">
        <v>100</v>
      </c>
      <c r="D129" s="20">
        <f>1544660.77+7522.98+32425.6</f>
        <v>1584609.35</v>
      </c>
    </row>
    <row r="130" spans="1:4" ht="100.5" customHeight="1">
      <c r="A130" s="22" t="s">
        <v>232</v>
      </c>
      <c r="B130" s="7" t="s">
        <v>62</v>
      </c>
      <c r="C130" s="7">
        <v>200</v>
      </c>
      <c r="D130" s="20">
        <f>239674.96+24249.79</f>
        <v>263924.75</v>
      </c>
    </row>
    <row r="131" spans="1:4" ht="82.5" customHeight="1">
      <c r="A131" s="22" t="s">
        <v>201</v>
      </c>
      <c r="B131" s="7" t="s">
        <v>200</v>
      </c>
      <c r="C131" s="7">
        <v>200</v>
      </c>
      <c r="D131" s="20">
        <f>241191.04</f>
        <v>241191.04</v>
      </c>
    </row>
    <row r="132" spans="1:4" ht="59.25" customHeight="1">
      <c r="A132" s="22" t="s">
        <v>126</v>
      </c>
      <c r="B132" s="7" t="s">
        <v>127</v>
      </c>
      <c r="C132" s="7">
        <v>800</v>
      </c>
      <c r="D132" s="20">
        <f>31840</f>
        <v>31840</v>
      </c>
    </row>
    <row r="133" spans="1:4" s="13" customFormat="1" ht="58.5" customHeight="1">
      <c r="A133" s="10" t="s">
        <v>104</v>
      </c>
      <c r="B133" s="11" t="s">
        <v>105</v>
      </c>
      <c r="C133" s="11"/>
      <c r="D133" s="12">
        <f>D134</f>
        <v>737209.8</v>
      </c>
    </row>
    <row r="134" spans="1:4" s="24" customFormat="1" ht="80.25" customHeight="1">
      <c r="A134" s="10" t="s">
        <v>30</v>
      </c>
      <c r="B134" s="11" t="s">
        <v>18</v>
      </c>
      <c r="C134" s="23"/>
      <c r="D134" s="12">
        <f>SUM(D135:D144)</f>
        <v>737209.8</v>
      </c>
    </row>
    <row r="135" spans="1:4" s="24" customFormat="1" ht="138.75" customHeight="1">
      <c r="A135" s="19" t="s">
        <v>189</v>
      </c>
      <c r="B135" s="7" t="s">
        <v>190</v>
      </c>
      <c r="C135" s="7">
        <v>500</v>
      </c>
      <c r="D135" s="20">
        <f>3600</f>
        <v>3600</v>
      </c>
    </row>
    <row r="136" spans="1:4" s="18" customFormat="1" ht="41.25" customHeight="1">
      <c r="A136" s="22" t="s">
        <v>115</v>
      </c>
      <c r="B136" s="7" t="s">
        <v>116</v>
      </c>
      <c r="C136" s="7">
        <v>800</v>
      </c>
      <c r="D136" s="20">
        <f>70000</f>
        <v>70000</v>
      </c>
    </row>
    <row r="137" spans="1:4" s="18" customFormat="1" ht="97.5" customHeight="1">
      <c r="A137" s="22" t="s">
        <v>205</v>
      </c>
      <c r="B137" s="7" t="s">
        <v>206</v>
      </c>
      <c r="C137" s="7">
        <v>200</v>
      </c>
      <c r="D137" s="20">
        <f>36000</f>
        <v>36000</v>
      </c>
    </row>
    <row r="138" spans="1:4" s="18" customFormat="1" ht="96.75" customHeight="1">
      <c r="A138" s="22" t="s">
        <v>176</v>
      </c>
      <c r="B138" s="7" t="s">
        <v>117</v>
      </c>
      <c r="C138" s="7">
        <v>200</v>
      </c>
      <c r="D138" s="20">
        <f>200000</f>
        <v>200000</v>
      </c>
    </row>
    <row r="139" spans="1:4" s="18" customFormat="1" ht="115.5" customHeight="1">
      <c r="A139" s="22" t="s">
        <v>134</v>
      </c>
      <c r="B139" s="7" t="s">
        <v>135</v>
      </c>
      <c r="C139" s="7">
        <v>200</v>
      </c>
      <c r="D139" s="20">
        <f>65000</f>
        <v>65000</v>
      </c>
    </row>
    <row r="140" spans="1:4" s="18" customFormat="1" ht="78.75" customHeight="1">
      <c r="A140" s="22" t="s">
        <v>202</v>
      </c>
      <c r="B140" s="7" t="s">
        <v>63</v>
      </c>
      <c r="C140" s="7">
        <v>200</v>
      </c>
      <c r="D140" s="20">
        <f>2277+525</f>
        <v>2802</v>
      </c>
    </row>
    <row r="141" spans="1:4" ht="78.75" customHeight="1">
      <c r="A141" s="22" t="s">
        <v>82</v>
      </c>
      <c r="B141" s="7" t="s">
        <v>63</v>
      </c>
      <c r="C141" s="7">
        <v>300</v>
      </c>
      <c r="D141" s="20">
        <f>248536.2+5271.6</f>
        <v>253807.80000000002</v>
      </c>
    </row>
    <row r="142" spans="1:4" ht="39.75" customHeight="1">
      <c r="A142" s="22" t="s">
        <v>254</v>
      </c>
      <c r="B142" s="7" t="s">
        <v>251</v>
      </c>
      <c r="C142" s="7">
        <v>800</v>
      </c>
      <c r="D142" s="20">
        <f>6000</f>
        <v>6000</v>
      </c>
    </row>
    <row r="143" spans="1:4" ht="139.5" customHeight="1">
      <c r="A143" s="22" t="s">
        <v>255</v>
      </c>
      <c r="B143" s="7" t="s">
        <v>252</v>
      </c>
      <c r="C143" s="7">
        <v>800</v>
      </c>
      <c r="D143" s="20">
        <f>50000</f>
        <v>50000</v>
      </c>
    </row>
    <row r="144" spans="1:4" ht="159.75" customHeight="1">
      <c r="A144" s="22" t="s">
        <v>256</v>
      </c>
      <c r="B144" s="7" t="s">
        <v>253</v>
      </c>
      <c r="C144" s="7">
        <v>800</v>
      </c>
      <c r="D144" s="20">
        <f>50000</f>
        <v>50000</v>
      </c>
    </row>
    <row r="145" spans="1:4" s="13" customFormat="1" ht="32.25" customHeight="1">
      <c r="A145" s="37" t="s">
        <v>177</v>
      </c>
      <c r="B145" s="37"/>
      <c r="C145" s="37"/>
      <c r="D145" s="12">
        <f>D26+D42+D109+D126+D133+D119</f>
        <v>113160374.00999999</v>
      </c>
    </row>
    <row r="146" ht="18.75">
      <c r="D146" s="28" t="s">
        <v>242</v>
      </c>
    </row>
    <row r="147" spans="2:4" s="14" customFormat="1" ht="18.75">
      <c r="B147" s="29"/>
      <c r="C147" s="30"/>
      <c r="D147" s="31"/>
    </row>
    <row r="150" spans="1:4" s="14" customFormat="1" ht="18.75">
      <c r="A150" s="32"/>
      <c r="B150" s="29"/>
      <c r="C150" s="30"/>
      <c r="D150" s="31"/>
    </row>
    <row r="151" spans="1:4" s="14" customFormat="1" ht="18.75">
      <c r="A151" s="33"/>
      <c r="B151" s="29"/>
      <c r="C151" s="30"/>
      <c r="D151" s="31"/>
    </row>
    <row r="152" ht="18.75">
      <c r="D152" s="31"/>
    </row>
  </sheetData>
  <sheetProtection/>
  <mergeCells count="19">
    <mergeCell ref="A7:D7"/>
    <mergeCell ref="A8:D8"/>
    <mergeCell ref="A9:D9"/>
    <mergeCell ref="A1:D1"/>
    <mergeCell ref="A2:D2"/>
    <mergeCell ref="A3:D3"/>
    <mergeCell ref="A4:D4"/>
    <mergeCell ref="A5:D5"/>
    <mergeCell ref="A6:D6"/>
    <mergeCell ref="A145:C145"/>
    <mergeCell ref="A12:D12"/>
    <mergeCell ref="A13:D13"/>
    <mergeCell ref="A14:D14"/>
    <mergeCell ref="A15:D15"/>
    <mergeCell ref="A16:D16"/>
    <mergeCell ref="A18:D18"/>
    <mergeCell ref="A19:D19"/>
    <mergeCell ref="A22:D22"/>
    <mergeCell ref="A17:D17"/>
  </mergeCells>
  <printOptions/>
  <pageMargins left="0.9055118110236221" right="0.1968503937007874" top="0.3937007874015748" bottom="0.3937007874015748" header="0" footer="0"/>
  <pageSetup fitToHeight="0"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2023-01-20T12:01:47Z</dcterms:modified>
  <cp:category/>
  <cp:version/>
  <cp:contentType/>
  <cp:contentStatus/>
</cp:coreProperties>
</file>