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пред на 2021-2023" sheetId="1" r:id="rId1"/>
  </sheets>
  <definedNames>
    <definedName name="_xlnm.Print_Titles" localSheetId="0">'Распред на 2021-2023'!$22:$22</definedName>
  </definedNames>
  <calcPr fullCalcOnLoad="1"/>
</workbook>
</file>

<file path=xl/sharedStrings.xml><?xml version="1.0" encoding="utf-8"?>
<sst xmlns="http://schemas.openxmlformats.org/spreadsheetml/2006/main" count="227" uniqueCount="225">
  <si>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</si>
  <si>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</si>
  <si>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</si>
  <si>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</si>
  <si>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</si>
  <si>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</si>
  <si>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</si>
  <si>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</si>
  <si>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</si>
  <si>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</si>
  <si>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</si>
  <si>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</si>
  <si>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</si>
  <si>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</si>
  <si>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</si>
  <si>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</si>
  <si>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</si>
  <si>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</si>
  <si>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</si>
  <si>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</si>
  <si>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</si>
  <si>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</si>
  <si>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</si>
  <si>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</si>
  <si>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</si>
  <si>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</si>
  <si>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</si>
  <si>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</si>
  <si>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</si>
  <si>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</si>
  <si>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</si>
  <si>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</si>
  <si>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</si>
  <si>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</si>
  <si>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</si>
  <si>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</si>
  <si>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</si>
  <si>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</si>
  <si>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</si>
  <si>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</si>
  <si>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</si>
  <si>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</si>
  <si>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</si>
  <si>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</si>
  <si>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</si>
  <si>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</si>
  <si>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</si>
  <si>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</si>
  <si>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</si>
  <si>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</si>
  <si>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</si>
  <si>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</si>
  <si>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</si>
  <si>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</si>
  <si>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</si>
  <si>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</si>
  <si>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</si>
  <si>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</si>
  <si>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</si>
  <si>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</si>
  <si>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</si>
  <si>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</si>
  <si>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</si>
  <si>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</si>
  <si>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</si>
  <si>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</si>
  <si>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</si>
  <si>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</si>
  <si>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</si>
  <si>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</si>
  <si>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</si>
  <si>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</si>
  <si>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</si>
  <si>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</si>
  <si>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</si>
  <si>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</si>
  <si>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</si>
  <si>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</si>
  <si>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</si>
  <si>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</si>
  <si>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</si>
  <si>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</si>
  <si>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</si>
  <si>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</si>
  <si>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02 2 01 20170 </t>
  </si>
  <si>
    <t xml:space="preserve">02 2 01 20180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</si>
  <si>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</si>
  <si>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</si>
  <si>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</si>
  <si>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</si>
  <si>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</si>
  <si>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</si>
  <si>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</si>
  <si>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</si>
  <si>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</si>
  <si>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</si>
  <si>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</si>
  <si>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</si>
  <si>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</si>
  <si>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</si>
  <si>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</si>
  <si>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</si>
  <si>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</si>
  <si>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</si>
  <si>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</si>
  <si>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</si>
  <si>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</si>
  <si>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</si>
  <si>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</si>
  <si>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</si>
  <si>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</si>
  <si>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</si>
  <si>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</si>
  <si>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</si>
  <si>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</si>
  <si>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</si>
  <si>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</si>
  <si>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</si>
  <si>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</si>
  <si>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</si>
  <si>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</si>
  <si>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</si>
  <si>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</si>
  <si>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</si>
  <si>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</si>
  <si>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</si>
  <si>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</si>
  <si>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</si>
  <si>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</si>
  <si>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</si>
  <si>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</si>
  <si>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</si>
  <si>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</si>
  <si>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</si>
  <si>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</si>
  <si>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</si>
  <si>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</si>
  <si>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</si>
  <si>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</si>
  <si>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</si>
  <si>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</si>
  <si>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</si>
  <si>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</si>
  <si>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</si>
  <si>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</si>
  <si>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</si>
  <si>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</si>
  <si>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</si>
  <si>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</si>
  <si>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</si>
  <si>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</si>
  <si>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</si>
  <si>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</si>
  <si>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</si>
  <si>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</si>
  <si>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</si>
  <si>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</si>
  <si>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</si>
  <si>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</si>
  <si>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</si>
  <si>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</si>
  <si>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</si>
  <si>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</si>
  <si>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</si>
  <si>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</si>
  <si>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</si>
  <si>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</si>
  <si>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</si>
  <si>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</si>
  <si>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</si>
  <si>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</si>
  <si>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</si>
  <si>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</si>
  <si>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</si>
  <si>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</si>
  <si>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2023 год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</si>
  <si>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</si>
  <si>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</si>
  <si>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</si>
  <si>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</si>
  <si>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</si>
  <si>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</si>
  <si>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2022 и 2023 годы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</si>
  <si>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</si>
  <si>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</si>
  <si>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</si>
  <si>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</si>
  <si>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</si>
  <si>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</si>
  <si>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</si>
  <si>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</si>
  <si>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</si>
  <si>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</si>
  <si>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</si>
  <si>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</si>
  <si>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</si>
  <si>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</si>
  <si>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7</t>
  </si>
  <si>
    <t>"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</si>
  <si>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</si>
  <si>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</si>
  <si>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</si>
  <si>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</si>
  <si>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</si>
  <si>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</si>
  <si>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</si>
  <si>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</si>
  <si>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</si>
  <si>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02 2 01 21760</t>
  </si>
  <si>
    <t>Приложение № 4</t>
  </si>
  <si>
    <t xml:space="preserve"> 02 2 01 21770</t>
  </si>
  <si>
    <t>02 2 01 21780</t>
  </si>
  <si>
    <t>02 2 01 21790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</si>
  <si>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</si>
  <si>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</si>
  <si>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02 2 01 20160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</si>
  <si>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</si>
  <si>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Мероприятия связанные с размещением светильников  уличного освещения и узлов учета электроэнергии на объектах электросетевого хозяйства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</si>
  <si>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</si>
  <si>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</t>
  </si>
  <si>
    <t>02 2 01 21800</t>
  </si>
  <si>
    <t>02 3 01 21640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</si>
  <si>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</si>
  <si>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Строительство двух нецентрализованных источников водоснабжения ул. 4-Рабочая у дома № 5; ул. Брюханова у дома № 5А, г. Южа (Капитальные вложения в объекты государственной (муниципальной) собственности)</t>
  </si>
  <si>
    <t>от 16.12.2021  № 83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</si>
</sst>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top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4" xfId="0" applyNumberFormat="1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justify" vertical="top" wrapText="1"/>
    </xf>
    <xf numFmtId="4" fontId="6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horizontal="justify" vertical="top" wrapText="1"/>
    </xf>
    <xf numFmtId="4" fontId="7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4" fontId="48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49" fontId="7" fillId="0" borderId="14" xfId="0" applyNumberFormat="1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2" customWidth="1"/>
    <col min="2" max="2" width="19.00390625" style="19" customWidth="1"/>
    <col min="3" max="3" width="9.7109375" style="43" customWidth="1"/>
    <col min="4" max="4" width="19.28125" style="2" customWidth="1"/>
    <col min="5" max="5" width="17.8515625" style="2" customWidth="1"/>
    <col min="6" max="6" width="18.57421875" style="2" customWidth="1"/>
    <col min="7" max="7" width="18.00390625" style="2" customWidth="1"/>
    <col min="8" max="16384" width="9.140625" style="2" customWidth="1"/>
  </cols>
  <sheetData>
    <row r="1" spans="1:5" ht="18.75">
      <c r="A1" s="1" t="s">
        <v>209</v>
      </c>
      <c r="B1" s="1"/>
      <c r="C1" s="1"/>
      <c r="D1" s="1"/>
      <c r="E1" s="1"/>
    </row>
    <row r="2" spans="1:5" ht="18.75">
      <c r="A2" s="1" t="s">
        <v>191</v>
      </c>
      <c r="B2" s="1"/>
      <c r="C2" s="1"/>
      <c r="D2" s="1"/>
      <c r="E2" s="1"/>
    </row>
    <row r="3" spans="1:5" ht="18.75">
      <c r="A3" s="1" t="s">
        <v>192</v>
      </c>
      <c r="B3" s="1"/>
      <c r="C3" s="1"/>
      <c r="D3" s="1"/>
      <c r="E3" s="1"/>
    </row>
    <row r="4" spans="1:5" ht="18.75">
      <c r="A4" s="1" t="s">
        <v>193</v>
      </c>
      <c r="B4" s="1"/>
      <c r="C4" s="1"/>
      <c r="D4" s="1"/>
      <c r="E4" s="1"/>
    </row>
    <row r="5" spans="1:5" ht="75" customHeight="1">
      <c r="A5" s="3" t="s">
        <v>194</v>
      </c>
      <c r="B5" s="3"/>
      <c r="C5" s="3"/>
      <c r="D5" s="3"/>
      <c r="E5" s="3"/>
    </row>
    <row r="6" spans="1:5" ht="18.75">
      <c r="A6" s="1" t="s">
        <v>195</v>
      </c>
      <c r="B6" s="1"/>
      <c r="C6" s="1"/>
      <c r="D6" s="1"/>
      <c r="E6" s="1"/>
    </row>
    <row r="7" spans="1:5" ht="18.75">
      <c r="A7" s="1" t="s">
        <v>196</v>
      </c>
      <c r="B7" s="1"/>
      <c r="C7" s="1"/>
      <c r="D7" s="1"/>
      <c r="E7" s="1"/>
    </row>
    <row r="8" spans="1:5" ht="18.75">
      <c r="A8" s="1" t="s">
        <v>224</v>
      </c>
      <c r="B8" s="1"/>
      <c r="C8" s="1"/>
      <c r="D8" s="1"/>
      <c r="E8" s="1"/>
    </row>
    <row r="10" spans="1:5" ht="18.75">
      <c r="A10" s="4" t="s">
        <v>185</v>
      </c>
      <c r="B10" s="4"/>
      <c r="C10" s="4"/>
      <c r="D10" s="5" t="s">
        <v>197</v>
      </c>
      <c r="E10" s="5"/>
    </row>
    <row r="11" spans="1:5" ht="18.75">
      <c r="A11" s="1" t="s">
        <v>177</v>
      </c>
      <c r="B11" s="1"/>
      <c r="C11" s="1"/>
      <c r="D11" s="1"/>
      <c r="E11" s="1"/>
    </row>
    <row r="12" spans="1:5" ht="18.75">
      <c r="A12" s="1" t="s">
        <v>178</v>
      </c>
      <c r="B12" s="1"/>
      <c r="C12" s="1"/>
      <c r="D12" s="1"/>
      <c r="E12" s="1"/>
    </row>
    <row r="13" spans="1:5" ht="18.75">
      <c r="A13" s="1" t="s">
        <v>179</v>
      </c>
      <c r="B13" s="1"/>
      <c r="C13" s="1"/>
      <c r="D13" s="1"/>
      <c r="E13" s="1"/>
    </row>
    <row r="14" spans="1:5" ht="18.75" customHeight="1">
      <c r="A14" s="1" t="s">
        <v>180</v>
      </c>
      <c r="B14" s="1"/>
      <c r="C14" s="1"/>
      <c r="D14" s="1"/>
      <c r="E14" s="1"/>
    </row>
    <row r="15" spans="1:5" ht="78.75" customHeight="1">
      <c r="A15" s="6" t="s">
        <v>181</v>
      </c>
      <c r="B15" s="6"/>
      <c r="C15" s="6"/>
      <c r="D15" s="6"/>
      <c r="E15" s="6"/>
    </row>
    <row r="16" spans="1:5" ht="18.75">
      <c r="A16" s="1" t="s">
        <v>186</v>
      </c>
      <c r="B16" s="1"/>
      <c r="C16" s="1"/>
      <c r="D16" s="1"/>
      <c r="E16" s="1"/>
    </row>
    <row r="18" spans="1:5" s="8" customFormat="1" ht="118.5" customHeight="1">
      <c r="A18" s="7" t="s">
        <v>182</v>
      </c>
      <c r="B18" s="7"/>
      <c r="C18" s="7"/>
      <c r="D18" s="7"/>
      <c r="E18" s="7"/>
    </row>
    <row r="19" spans="2:3" ht="21.75" customHeight="1">
      <c r="B19" s="9"/>
      <c r="C19" s="9"/>
    </row>
    <row r="20" spans="1:5" ht="18.75">
      <c r="A20" s="10" t="s">
        <v>132</v>
      </c>
      <c r="B20" s="10" t="s">
        <v>133</v>
      </c>
      <c r="C20" s="11" t="s">
        <v>134</v>
      </c>
      <c r="D20" s="12" t="s">
        <v>135</v>
      </c>
      <c r="E20" s="13"/>
    </row>
    <row r="21" spans="1:5" ht="39" customHeight="1">
      <c r="A21" s="14"/>
      <c r="B21" s="14"/>
      <c r="C21" s="15"/>
      <c r="D21" s="16" t="s">
        <v>150</v>
      </c>
      <c r="E21" s="16" t="s">
        <v>175</v>
      </c>
    </row>
    <row r="22" spans="1:5" s="19" customFormat="1" ht="18.75">
      <c r="A22" s="17">
        <v>1</v>
      </c>
      <c r="B22" s="17">
        <v>2</v>
      </c>
      <c r="C22" s="17">
        <v>3</v>
      </c>
      <c r="D22" s="18">
        <v>4</v>
      </c>
      <c r="E22" s="18">
        <v>5</v>
      </c>
    </row>
    <row r="23" spans="1:5" s="23" customFormat="1" ht="56.25">
      <c r="A23" s="20" t="s">
        <v>103</v>
      </c>
      <c r="B23" s="21" t="s">
        <v>0</v>
      </c>
      <c r="C23" s="16"/>
      <c r="D23" s="22">
        <f>D24+D27</f>
        <v>19902734.51</v>
      </c>
      <c r="E23" s="22">
        <f>E24+E27</f>
        <v>19493934.51</v>
      </c>
    </row>
    <row r="24" spans="1:5" s="23" customFormat="1" ht="58.5" customHeight="1">
      <c r="A24" s="20" t="s">
        <v>21</v>
      </c>
      <c r="B24" s="21" t="s">
        <v>1</v>
      </c>
      <c r="C24" s="21"/>
      <c r="D24" s="22">
        <f>D25</f>
        <v>100000</v>
      </c>
      <c r="E24" s="22">
        <f>E25</f>
        <v>100000</v>
      </c>
    </row>
    <row r="25" spans="1:5" s="27" customFormat="1" ht="56.25">
      <c r="A25" s="24" t="s">
        <v>20</v>
      </c>
      <c r="B25" s="25" t="s">
        <v>19</v>
      </c>
      <c r="C25" s="25"/>
      <c r="D25" s="26">
        <f>D26</f>
        <v>100000</v>
      </c>
      <c r="E25" s="26">
        <f>E26</f>
        <v>100000</v>
      </c>
    </row>
    <row r="26" spans="1:5" ht="136.5" customHeight="1">
      <c r="A26" s="28" t="s">
        <v>144</v>
      </c>
      <c r="B26" s="16" t="s">
        <v>78</v>
      </c>
      <c r="C26" s="16">
        <v>600</v>
      </c>
      <c r="D26" s="29">
        <f>100000</f>
        <v>100000</v>
      </c>
      <c r="E26" s="29">
        <f>100000</f>
        <v>100000</v>
      </c>
    </row>
    <row r="27" spans="1:5" ht="58.5" customHeight="1">
      <c r="A27" s="20" t="s">
        <v>102</v>
      </c>
      <c r="B27" s="21" t="s">
        <v>2</v>
      </c>
      <c r="C27" s="16"/>
      <c r="D27" s="22">
        <f>D28</f>
        <v>19802734.51</v>
      </c>
      <c r="E27" s="22">
        <f>E28</f>
        <v>19393934.51</v>
      </c>
    </row>
    <row r="28" spans="1:5" s="27" customFormat="1" ht="78" customHeight="1">
      <c r="A28" s="30" t="s">
        <v>24</v>
      </c>
      <c r="B28" s="25" t="s">
        <v>3</v>
      </c>
      <c r="C28" s="25"/>
      <c r="D28" s="26">
        <f>SUM(D29:D36)</f>
        <v>19802734.51</v>
      </c>
      <c r="E28" s="26">
        <f>SUM(E29:E36)</f>
        <v>19393934.51</v>
      </c>
    </row>
    <row r="29" spans="1:5" ht="97.5" customHeight="1">
      <c r="A29" s="31" t="s">
        <v>145</v>
      </c>
      <c r="B29" s="16" t="s">
        <v>71</v>
      </c>
      <c r="C29" s="16">
        <v>600</v>
      </c>
      <c r="D29" s="29">
        <f>17262402.51</f>
        <v>17262402.51</v>
      </c>
      <c r="E29" s="29">
        <f>17262402.51</f>
        <v>17262402.51</v>
      </c>
    </row>
    <row r="30" spans="1:5" ht="60" customHeight="1">
      <c r="A30" s="28" t="s">
        <v>31</v>
      </c>
      <c r="B30" s="16" t="s">
        <v>70</v>
      </c>
      <c r="C30" s="16">
        <v>600</v>
      </c>
      <c r="D30" s="29">
        <f>33440</f>
        <v>33440</v>
      </c>
      <c r="E30" s="29">
        <f>33440</f>
        <v>33440</v>
      </c>
    </row>
    <row r="31" spans="1:5" ht="58.5" customHeight="1">
      <c r="A31" s="28" t="s">
        <v>32</v>
      </c>
      <c r="B31" s="16" t="s">
        <v>79</v>
      </c>
      <c r="C31" s="16">
        <v>600</v>
      </c>
      <c r="D31" s="29">
        <f>5280</f>
        <v>5280</v>
      </c>
      <c r="E31" s="29">
        <f>5280</f>
        <v>5280</v>
      </c>
    </row>
    <row r="32" spans="1:5" ht="77.25" customHeight="1">
      <c r="A32" s="28" t="s">
        <v>33</v>
      </c>
      <c r="B32" s="16" t="s">
        <v>80</v>
      </c>
      <c r="C32" s="16">
        <v>600</v>
      </c>
      <c r="D32" s="29">
        <f>318928+200000</f>
        <v>518928</v>
      </c>
      <c r="E32" s="29">
        <f>318928+200000</f>
        <v>518928</v>
      </c>
    </row>
    <row r="33" spans="1:5" ht="77.25" customHeight="1">
      <c r="A33" s="31" t="s">
        <v>34</v>
      </c>
      <c r="B33" s="16" t="s">
        <v>81</v>
      </c>
      <c r="C33" s="16">
        <v>200</v>
      </c>
      <c r="D33" s="29">
        <f>77000</f>
        <v>77000</v>
      </c>
      <c r="E33" s="29">
        <f>77000</f>
        <v>77000</v>
      </c>
    </row>
    <row r="34" spans="1:5" ht="76.5" customHeight="1">
      <c r="A34" s="31" t="s">
        <v>35</v>
      </c>
      <c r="B34" s="16" t="s">
        <v>82</v>
      </c>
      <c r="C34" s="16">
        <v>200</v>
      </c>
      <c r="D34" s="29">
        <f>158840</f>
        <v>158840</v>
      </c>
      <c r="E34" s="29">
        <f>158840</f>
        <v>158840</v>
      </c>
    </row>
    <row r="35" spans="1:5" ht="97.5" customHeight="1">
      <c r="A35" s="31" t="s">
        <v>164</v>
      </c>
      <c r="B35" s="16" t="s">
        <v>165</v>
      </c>
      <c r="C35" s="16">
        <v>600</v>
      </c>
      <c r="D35" s="29">
        <f>150000</f>
        <v>150000</v>
      </c>
      <c r="E35" s="29">
        <f>150000</f>
        <v>150000</v>
      </c>
    </row>
    <row r="36" spans="1:7" ht="191.25" customHeight="1">
      <c r="A36" s="31" t="s">
        <v>146</v>
      </c>
      <c r="B36" s="16" t="s">
        <v>72</v>
      </c>
      <c r="C36" s="16">
        <v>600</v>
      </c>
      <c r="D36" s="29">
        <f>1596844</f>
        <v>1596844</v>
      </c>
      <c r="E36" s="29">
        <f>1596844-408800</f>
        <v>1188044</v>
      </c>
      <c r="F36" s="32"/>
      <c r="G36" s="32"/>
    </row>
    <row r="37" spans="1:5" s="23" customFormat="1" ht="75">
      <c r="A37" s="20" t="s">
        <v>104</v>
      </c>
      <c r="B37" s="21" t="s">
        <v>4</v>
      </c>
      <c r="C37" s="21"/>
      <c r="D37" s="22">
        <f>D38+D48+D62+D72+D75+D78+D87</f>
        <v>42574368.3</v>
      </c>
      <c r="E37" s="22">
        <f>E38+E48+E62+E72+E75+E78+E87</f>
        <v>37468759.669999994</v>
      </c>
    </row>
    <row r="38" spans="1:5" s="23" customFormat="1" ht="56.25">
      <c r="A38" s="20" t="s">
        <v>37</v>
      </c>
      <c r="B38" s="21" t="s">
        <v>5</v>
      </c>
      <c r="C38" s="21"/>
      <c r="D38" s="22">
        <f>D39</f>
        <v>2481868.16</v>
      </c>
      <c r="E38" s="22">
        <f>E39</f>
        <v>1537177.22</v>
      </c>
    </row>
    <row r="39" spans="1:5" s="27" customFormat="1" ht="78" customHeight="1">
      <c r="A39" s="30" t="s">
        <v>25</v>
      </c>
      <c r="B39" s="25" t="s">
        <v>6</v>
      </c>
      <c r="C39" s="25"/>
      <c r="D39" s="26">
        <f>SUM(D40:D47)</f>
        <v>2481868.16</v>
      </c>
      <c r="E39" s="26">
        <f>SUM(E40:E47)</f>
        <v>1537177.22</v>
      </c>
    </row>
    <row r="40" spans="1:5" ht="78" customHeight="1">
      <c r="A40" s="31" t="s">
        <v>38</v>
      </c>
      <c r="B40" s="16" t="s">
        <v>73</v>
      </c>
      <c r="C40" s="16">
        <v>200</v>
      </c>
      <c r="D40" s="29">
        <f>230000</f>
        <v>230000</v>
      </c>
      <c r="E40" s="29">
        <f>230000</f>
        <v>230000</v>
      </c>
    </row>
    <row r="41" spans="1:5" ht="114.75" customHeight="1">
      <c r="A41" s="31" t="s">
        <v>95</v>
      </c>
      <c r="B41" s="16" t="s">
        <v>83</v>
      </c>
      <c r="C41" s="16">
        <v>200</v>
      </c>
      <c r="D41" s="29">
        <f>1348056.37-182604.16</f>
        <v>1165452.2100000002</v>
      </c>
      <c r="E41" s="29">
        <f>1348056.37-1127295.1</f>
        <v>220761.27000000002</v>
      </c>
    </row>
    <row r="42" spans="1:5" ht="98.25" customHeight="1">
      <c r="A42" s="31" t="s">
        <v>125</v>
      </c>
      <c r="B42" s="16" t="s">
        <v>126</v>
      </c>
      <c r="C42" s="16">
        <v>200</v>
      </c>
      <c r="D42" s="29">
        <f>60000</f>
        <v>60000</v>
      </c>
      <c r="E42" s="29">
        <f>60000</f>
        <v>60000</v>
      </c>
    </row>
    <row r="43" spans="1:5" ht="76.5" customHeight="1">
      <c r="A43" s="31" t="s">
        <v>118</v>
      </c>
      <c r="B43" s="16" t="s">
        <v>119</v>
      </c>
      <c r="C43" s="16">
        <v>200</v>
      </c>
      <c r="D43" s="29">
        <f>100103</f>
        <v>100103</v>
      </c>
      <c r="E43" s="29">
        <f>100103</f>
        <v>100103</v>
      </c>
    </row>
    <row r="44" spans="1:5" ht="76.5" customHeight="1">
      <c r="A44" s="31" t="s">
        <v>154</v>
      </c>
      <c r="B44" s="16" t="s">
        <v>155</v>
      </c>
      <c r="C44" s="16">
        <v>200</v>
      </c>
      <c r="D44" s="29">
        <f>353572</f>
        <v>353572</v>
      </c>
      <c r="E44" s="29">
        <f>353572</f>
        <v>353572</v>
      </c>
    </row>
    <row r="45" spans="1:5" ht="96" customHeight="1">
      <c r="A45" s="28" t="s">
        <v>127</v>
      </c>
      <c r="B45" s="16" t="s">
        <v>128</v>
      </c>
      <c r="C45" s="16">
        <v>200</v>
      </c>
      <c r="D45" s="29">
        <f>29708.3</f>
        <v>29708.3</v>
      </c>
      <c r="E45" s="29">
        <f>29708.3</f>
        <v>29708.3</v>
      </c>
    </row>
    <row r="46" spans="1:5" ht="136.5" customHeight="1">
      <c r="A46" s="28" t="s">
        <v>156</v>
      </c>
      <c r="B46" s="16" t="s">
        <v>157</v>
      </c>
      <c r="C46" s="16">
        <v>200</v>
      </c>
      <c r="D46" s="29">
        <f>300000</f>
        <v>300000</v>
      </c>
      <c r="E46" s="29">
        <f>300000</f>
        <v>300000</v>
      </c>
    </row>
    <row r="47" spans="1:5" ht="270.75" customHeight="1">
      <c r="A47" s="28" t="s">
        <v>168</v>
      </c>
      <c r="B47" s="16" t="s">
        <v>169</v>
      </c>
      <c r="C47" s="16">
        <v>800</v>
      </c>
      <c r="D47" s="29">
        <f>243032.65</f>
        <v>243032.65</v>
      </c>
      <c r="E47" s="29">
        <f>243032.65</f>
        <v>243032.65</v>
      </c>
    </row>
    <row r="48" spans="1:5" s="27" customFormat="1" ht="37.5">
      <c r="A48" s="20" t="s">
        <v>39</v>
      </c>
      <c r="B48" s="21" t="s">
        <v>7</v>
      </c>
      <c r="C48" s="25"/>
      <c r="D48" s="22">
        <f>D49</f>
        <v>13483373.52</v>
      </c>
      <c r="E48" s="22">
        <f>E49</f>
        <v>10747474.52</v>
      </c>
    </row>
    <row r="49" spans="1:5" s="27" customFormat="1" ht="56.25">
      <c r="A49" s="30" t="s">
        <v>36</v>
      </c>
      <c r="B49" s="25" t="s">
        <v>8</v>
      </c>
      <c r="C49" s="25"/>
      <c r="D49" s="26">
        <f>SUM(D50:D61)</f>
        <v>13483373.52</v>
      </c>
      <c r="E49" s="26">
        <f>SUM(E50:E61)</f>
        <v>10747474.52</v>
      </c>
    </row>
    <row r="50" spans="1:7" ht="114.75" customHeight="1">
      <c r="A50" s="31" t="s">
        <v>101</v>
      </c>
      <c r="B50" s="16" t="s">
        <v>74</v>
      </c>
      <c r="C50" s="16">
        <v>200</v>
      </c>
      <c r="D50" s="29">
        <f>3093417.79-17457.33</f>
        <v>3075960.46</v>
      </c>
      <c r="E50" s="29">
        <f>3265119.46+20440</f>
        <v>3285559.46</v>
      </c>
      <c r="F50" s="32"/>
      <c r="G50" s="32"/>
    </row>
    <row r="51" spans="1:7" ht="101.25" customHeight="1">
      <c r="A51" s="31" t="s">
        <v>214</v>
      </c>
      <c r="B51" s="16" t="s">
        <v>215</v>
      </c>
      <c r="C51" s="16">
        <v>200</v>
      </c>
      <c r="D51" s="29">
        <f>6300000-5850000</f>
        <v>450000</v>
      </c>
      <c r="E51" s="29">
        <f>6300000-5850000</f>
        <v>450000</v>
      </c>
      <c r="F51" s="32"/>
      <c r="G51" s="32"/>
    </row>
    <row r="52" spans="1:5" ht="63" customHeight="1">
      <c r="A52" s="31" t="s">
        <v>147</v>
      </c>
      <c r="B52" s="16" t="s">
        <v>84</v>
      </c>
      <c r="C52" s="16">
        <v>200</v>
      </c>
      <c r="D52" s="29">
        <f>142242.06-789.47</f>
        <v>141452.59</v>
      </c>
      <c r="E52" s="29">
        <f>142242.06</f>
        <v>142242.06</v>
      </c>
    </row>
    <row r="53" spans="1:7" ht="58.5" customHeight="1">
      <c r="A53" s="31" t="s">
        <v>40</v>
      </c>
      <c r="B53" s="16" t="s">
        <v>85</v>
      </c>
      <c r="C53" s="16">
        <v>200</v>
      </c>
      <c r="D53" s="29">
        <f>254873</f>
        <v>254873</v>
      </c>
      <c r="E53" s="29">
        <f>254873</f>
        <v>254873</v>
      </c>
      <c r="F53" s="32"/>
      <c r="G53" s="32"/>
    </row>
    <row r="54" spans="1:7" ht="78.75" customHeight="1">
      <c r="A54" s="31" t="s">
        <v>160</v>
      </c>
      <c r="B54" s="16" t="s">
        <v>161</v>
      </c>
      <c r="C54" s="16">
        <v>200</v>
      </c>
      <c r="D54" s="29">
        <f>525000-255766.91</f>
        <v>269233.08999999997</v>
      </c>
      <c r="E54" s="29">
        <f>525000</f>
        <v>525000</v>
      </c>
      <c r="F54" s="32"/>
      <c r="G54" s="32"/>
    </row>
    <row r="55" spans="1:7" ht="135.75" customHeight="1">
      <c r="A55" s="28" t="s">
        <v>162</v>
      </c>
      <c r="B55" s="16" t="s">
        <v>163</v>
      </c>
      <c r="C55" s="16">
        <v>200</v>
      </c>
      <c r="D55" s="29">
        <f>239800</f>
        <v>239800</v>
      </c>
      <c r="E55" s="29">
        <f>239800</f>
        <v>239800</v>
      </c>
      <c r="F55" s="32"/>
      <c r="G55" s="32"/>
    </row>
    <row r="56" spans="1:7" ht="83.25" customHeight="1">
      <c r="A56" s="28" t="s">
        <v>219</v>
      </c>
      <c r="B56" s="16" t="s">
        <v>218</v>
      </c>
      <c r="C56" s="16">
        <v>200</v>
      </c>
      <c r="D56" s="29">
        <f>125891.98</f>
        <v>125891.98</v>
      </c>
      <c r="E56" s="29">
        <f>0</f>
        <v>0</v>
      </c>
      <c r="F56" s="32"/>
      <c r="G56" s="32"/>
    </row>
    <row r="57" spans="1:7" ht="104.25" customHeight="1">
      <c r="A57" s="28" t="s">
        <v>207</v>
      </c>
      <c r="B57" s="16" t="s">
        <v>208</v>
      </c>
      <c r="C57" s="16">
        <v>200</v>
      </c>
      <c r="D57" s="29">
        <f>2806302.4</f>
        <v>2806302.4</v>
      </c>
      <c r="E57" s="29">
        <f>0</f>
        <v>0</v>
      </c>
      <c r="F57" s="32"/>
      <c r="G57" s="32"/>
    </row>
    <row r="58" spans="1:7" ht="98.25" customHeight="1">
      <c r="A58" s="28" t="s">
        <v>213</v>
      </c>
      <c r="B58" s="16" t="s">
        <v>210</v>
      </c>
      <c r="C58" s="16">
        <v>200</v>
      </c>
      <c r="D58" s="29">
        <f>900000</f>
        <v>900000</v>
      </c>
      <c r="E58" s="29">
        <f>900000</f>
        <v>900000</v>
      </c>
      <c r="F58" s="32"/>
      <c r="G58" s="32"/>
    </row>
    <row r="59" spans="1:7" ht="136.5" customHeight="1">
      <c r="A59" s="28" t="s">
        <v>217</v>
      </c>
      <c r="B59" s="16" t="s">
        <v>211</v>
      </c>
      <c r="C59" s="16">
        <v>200</v>
      </c>
      <c r="D59" s="33">
        <f>650000</f>
        <v>650000</v>
      </c>
      <c r="E59" s="29">
        <f>650000</f>
        <v>650000</v>
      </c>
      <c r="F59" s="32"/>
      <c r="G59" s="32"/>
    </row>
    <row r="60" spans="1:7" ht="108.75" customHeight="1">
      <c r="A60" s="28" t="s">
        <v>216</v>
      </c>
      <c r="B60" s="16" t="s">
        <v>212</v>
      </c>
      <c r="C60" s="16">
        <v>200</v>
      </c>
      <c r="D60" s="29">
        <f>4300000</f>
        <v>4300000</v>
      </c>
      <c r="E60" s="29">
        <f>4300000</f>
        <v>4300000</v>
      </c>
      <c r="F60" s="32"/>
      <c r="G60" s="32"/>
    </row>
    <row r="61" spans="1:7" ht="108.75" customHeight="1">
      <c r="A61" s="28" t="s">
        <v>223</v>
      </c>
      <c r="B61" s="16" t="s">
        <v>220</v>
      </c>
      <c r="C61" s="16">
        <v>400</v>
      </c>
      <c r="D61" s="29">
        <f>269860</f>
        <v>269860</v>
      </c>
      <c r="E61" s="29">
        <f>0</f>
        <v>0</v>
      </c>
      <c r="F61" s="32"/>
      <c r="G61" s="32"/>
    </row>
    <row r="62" spans="1:5" ht="56.25">
      <c r="A62" s="20" t="s">
        <v>96</v>
      </c>
      <c r="B62" s="21" t="s">
        <v>9</v>
      </c>
      <c r="C62" s="16"/>
      <c r="D62" s="22">
        <f>D63+D70</f>
        <v>19194335.11</v>
      </c>
      <c r="E62" s="22">
        <f>E63+E70</f>
        <v>17383047.63</v>
      </c>
    </row>
    <row r="63" spans="1:5" s="34" customFormat="1" ht="56.25">
      <c r="A63" s="30" t="s">
        <v>26</v>
      </c>
      <c r="B63" s="25" t="s">
        <v>10</v>
      </c>
      <c r="C63" s="25"/>
      <c r="D63" s="26">
        <f>SUM(D64:D69)</f>
        <v>16067040.01</v>
      </c>
      <c r="E63" s="26">
        <f>SUM(E64:E69)</f>
        <v>14255752.53</v>
      </c>
    </row>
    <row r="64" spans="1:7" ht="135.75" customHeight="1">
      <c r="A64" s="31" t="s">
        <v>41</v>
      </c>
      <c r="B64" s="16" t="s">
        <v>86</v>
      </c>
      <c r="C64" s="16">
        <v>200</v>
      </c>
      <c r="D64" s="29">
        <f>2936519.44-1777965.33-1158554.11</f>
        <v>0</v>
      </c>
      <c r="E64" s="29">
        <f>2936519.44</f>
        <v>2936519.44</v>
      </c>
      <c r="F64" s="32"/>
      <c r="G64" s="32"/>
    </row>
    <row r="65" spans="1:7" ht="99.75" customHeight="1">
      <c r="A65" s="28" t="s">
        <v>190</v>
      </c>
      <c r="B65" s="16" t="s">
        <v>189</v>
      </c>
      <c r="C65" s="16">
        <v>200</v>
      </c>
      <c r="D65" s="29">
        <f>1169822.9</f>
        <v>1169822.9</v>
      </c>
      <c r="E65" s="29">
        <v>0</v>
      </c>
      <c r="F65" s="32"/>
      <c r="G65" s="32"/>
    </row>
    <row r="66" spans="1:7" ht="288.75" customHeight="1">
      <c r="A66" s="28" t="s">
        <v>183</v>
      </c>
      <c r="B66" s="16" t="s">
        <v>184</v>
      </c>
      <c r="C66" s="16">
        <v>200</v>
      </c>
      <c r="D66" s="29">
        <f>11319233.09+630766.91-2806302.4</f>
        <v>9143697.6</v>
      </c>
      <c r="E66" s="29">
        <f>11319233.09</f>
        <v>11319233.09</v>
      </c>
      <c r="F66" s="35"/>
      <c r="G66" s="35"/>
    </row>
    <row r="67" spans="1:7" ht="98.25" customHeight="1">
      <c r="A67" s="28" t="s">
        <v>188</v>
      </c>
      <c r="B67" s="16" t="s">
        <v>187</v>
      </c>
      <c r="C67" s="16">
        <v>200</v>
      </c>
      <c r="D67" s="29">
        <f>1777965.33</f>
        <v>1777965.33</v>
      </c>
      <c r="E67" s="29">
        <v>0</v>
      </c>
      <c r="F67" s="35"/>
      <c r="G67" s="35"/>
    </row>
    <row r="68" spans="1:7" ht="118.5" customHeight="1">
      <c r="A68" s="28" t="s">
        <v>222</v>
      </c>
      <c r="B68" s="16" t="s">
        <v>221</v>
      </c>
      <c r="C68" s="16">
        <v>200</v>
      </c>
      <c r="D68" s="29">
        <f>307043</f>
        <v>307043</v>
      </c>
      <c r="E68" s="29">
        <f>0</f>
        <v>0</v>
      </c>
      <c r="F68" s="35"/>
      <c r="G68" s="35"/>
    </row>
    <row r="69" spans="1:7" ht="157.5" customHeight="1">
      <c r="A69" s="31" t="s">
        <v>174</v>
      </c>
      <c r="B69" s="16" t="s">
        <v>173</v>
      </c>
      <c r="C69" s="16">
        <v>200</v>
      </c>
      <c r="D69" s="29">
        <f>3485085.62+183425.56</f>
        <v>3668511.18</v>
      </c>
      <c r="E69" s="29">
        <f>0</f>
        <v>0</v>
      </c>
      <c r="F69" s="32"/>
      <c r="G69" s="32"/>
    </row>
    <row r="70" spans="1:7" s="27" customFormat="1" ht="60" customHeight="1">
      <c r="A70" s="30" t="s">
        <v>140</v>
      </c>
      <c r="B70" s="25" t="s">
        <v>141</v>
      </c>
      <c r="C70" s="25"/>
      <c r="D70" s="26">
        <f>D71</f>
        <v>3127295.1</v>
      </c>
      <c r="E70" s="26">
        <f>E71</f>
        <v>3127295.1</v>
      </c>
      <c r="F70" s="36"/>
      <c r="G70" s="36"/>
    </row>
    <row r="71" spans="1:7" ht="118.5" customHeight="1">
      <c r="A71" s="31" t="s">
        <v>142</v>
      </c>
      <c r="B71" s="16" t="s">
        <v>143</v>
      </c>
      <c r="C71" s="16">
        <v>200</v>
      </c>
      <c r="D71" s="29">
        <f>2000000+962549+6205.13-24063.19+182604.16</f>
        <v>3127295.1</v>
      </c>
      <c r="E71" s="29">
        <f>2000000+1127295.1</f>
        <v>3127295.1</v>
      </c>
      <c r="F71" s="32"/>
      <c r="G71" s="32"/>
    </row>
    <row r="72" spans="1:5" ht="56.25">
      <c r="A72" s="20" t="s">
        <v>97</v>
      </c>
      <c r="B72" s="21" t="s">
        <v>22</v>
      </c>
      <c r="C72" s="21"/>
      <c r="D72" s="22">
        <f>D73</f>
        <v>2775.210000000021</v>
      </c>
      <c r="E72" s="22">
        <f>E73</f>
        <v>389044</v>
      </c>
    </row>
    <row r="73" spans="1:5" s="27" customFormat="1" ht="39" customHeight="1">
      <c r="A73" s="30" t="s">
        <v>28</v>
      </c>
      <c r="B73" s="25" t="s">
        <v>23</v>
      </c>
      <c r="C73" s="25"/>
      <c r="D73" s="26">
        <f>SUM(D74:D74)</f>
        <v>2775.210000000021</v>
      </c>
      <c r="E73" s="26">
        <f>SUM(E74:E74)</f>
        <v>389044</v>
      </c>
    </row>
    <row r="74" spans="1:5" ht="78" customHeight="1">
      <c r="A74" s="31" t="s">
        <v>42</v>
      </c>
      <c r="B74" s="16" t="s">
        <v>87</v>
      </c>
      <c r="C74" s="16">
        <v>200</v>
      </c>
      <c r="D74" s="29">
        <f>389044-386268.79</f>
        <v>2775.210000000021</v>
      </c>
      <c r="E74" s="29">
        <f>389044</f>
        <v>389044</v>
      </c>
    </row>
    <row r="75" spans="1:5" ht="115.5" customHeight="1">
      <c r="A75" s="20" t="s">
        <v>149</v>
      </c>
      <c r="B75" s="21" t="s">
        <v>43</v>
      </c>
      <c r="C75" s="21"/>
      <c r="D75" s="22">
        <f>D76</f>
        <v>2400000</v>
      </c>
      <c r="E75" s="22">
        <f>E76</f>
        <v>2400000</v>
      </c>
    </row>
    <row r="76" spans="1:5" s="27" customFormat="1" ht="57.75" customHeight="1">
      <c r="A76" s="30" t="s">
        <v>45</v>
      </c>
      <c r="B76" s="25" t="s">
        <v>44</v>
      </c>
      <c r="C76" s="25"/>
      <c r="D76" s="26">
        <f>D77</f>
        <v>2400000</v>
      </c>
      <c r="E76" s="26">
        <f>E77</f>
        <v>2400000</v>
      </c>
    </row>
    <row r="77" spans="1:5" ht="115.5" customHeight="1">
      <c r="A77" s="28" t="s">
        <v>148</v>
      </c>
      <c r="B77" s="16" t="s">
        <v>77</v>
      </c>
      <c r="C77" s="16">
        <v>800</v>
      </c>
      <c r="D77" s="29">
        <f>2400000</f>
        <v>2400000</v>
      </c>
      <c r="E77" s="29">
        <f>2400000</f>
        <v>2400000</v>
      </c>
    </row>
    <row r="78" spans="1:5" s="34" customFormat="1" ht="56.25">
      <c r="A78" s="20" t="s">
        <v>58</v>
      </c>
      <c r="B78" s="21" t="s">
        <v>59</v>
      </c>
      <c r="C78" s="16"/>
      <c r="D78" s="22">
        <f>D79+D83+D85</f>
        <v>484000</v>
      </c>
      <c r="E78" s="22">
        <f>E79+E83+E85</f>
        <v>484000</v>
      </c>
    </row>
    <row r="79" spans="1:5" s="34" customFormat="1" ht="37.5">
      <c r="A79" s="30" t="s">
        <v>60</v>
      </c>
      <c r="B79" s="25" t="s">
        <v>56</v>
      </c>
      <c r="C79" s="25"/>
      <c r="D79" s="26">
        <f>SUM(D80:D82)</f>
        <v>124000</v>
      </c>
      <c r="E79" s="26">
        <f>SUM(E80:E82)</f>
        <v>124000</v>
      </c>
    </row>
    <row r="80" spans="1:5" s="23" customFormat="1" ht="57.75" customHeight="1">
      <c r="A80" s="31" t="s">
        <v>120</v>
      </c>
      <c r="B80" s="16" t="s">
        <v>121</v>
      </c>
      <c r="C80" s="16">
        <v>200</v>
      </c>
      <c r="D80" s="29">
        <f>25000</f>
        <v>25000</v>
      </c>
      <c r="E80" s="29">
        <f>25000</f>
        <v>25000</v>
      </c>
    </row>
    <row r="81" spans="1:5" ht="96" customHeight="1">
      <c r="A81" s="31" t="s">
        <v>129</v>
      </c>
      <c r="B81" s="16" t="s">
        <v>88</v>
      </c>
      <c r="C81" s="16">
        <v>200</v>
      </c>
      <c r="D81" s="29">
        <f>90000</f>
        <v>90000</v>
      </c>
      <c r="E81" s="29">
        <f>90000</f>
        <v>90000</v>
      </c>
    </row>
    <row r="82" spans="1:5" ht="98.25" customHeight="1">
      <c r="A82" s="31" t="s">
        <v>61</v>
      </c>
      <c r="B82" s="16" t="s">
        <v>89</v>
      </c>
      <c r="C82" s="16">
        <v>200</v>
      </c>
      <c r="D82" s="29">
        <f>9000</f>
        <v>9000</v>
      </c>
      <c r="E82" s="29">
        <f>9000</f>
        <v>9000</v>
      </c>
    </row>
    <row r="83" spans="1:5" s="27" customFormat="1" ht="38.25" customHeight="1">
      <c r="A83" s="30" t="s">
        <v>27</v>
      </c>
      <c r="B83" s="25" t="s">
        <v>66</v>
      </c>
      <c r="C83" s="16"/>
      <c r="D83" s="26">
        <f>D84</f>
        <v>60000</v>
      </c>
      <c r="E83" s="26">
        <f>E84</f>
        <v>60000</v>
      </c>
    </row>
    <row r="84" spans="1:5" ht="94.5" customHeight="1">
      <c r="A84" s="31" t="s">
        <v>57</v>
      </c>
      <c r="B84" s="16" t="s">
        <v>90</v>
      </c>
      <c r="C84" s="16">
        <v>200</v>
      </c>
      <c r="D84" s="29">
        <f>60000</f>
        <v>60000</v>
      </c>
      <c r="E84" s="29">
        <f>60000</f>
        <v>60000</v>
      </c>
    </row>
    <row r="85" spans="1:5" s="27" customFormat="1" ht="79.5" customHeight="1">
      <c r="A85" s="30" t="s">
        <v>172</v>
      </c>
      <c r="B85" s="25" t="s">
        <v>122</v>
      </c>
      <c r="C85" s="25"/>
      <c r="D85" s="26">
        <f>SUM(D86:D86)</f>
        <v>300000</v>
      </c>
      <c r="E85" s="26">
        <f>SUM(E86:E86)</f>
        <v>300000</v>
      </c>
    </row>
    <row r="86" spans="1:5" ht="115.5" customHeight="1">
      <c r="A86" s="31" t="s">
        <v>123</v>
      </c>
      <c r="B86" s="16" t="s">
        <v>124</v>
      </c>
      <c r="C86" s="16">
        <v>200</v>
      </c>
      <c r="D86" s="29">
        <f>300000</f>
        <v>300000</v>
      </c>
      <c r="E86" s="29">
        <f>300000</f>
        <v>300000</v>
      </c>
    </row>
    <row r="87" spans="1:5" s="34" customFormat="1" ht="115.5" customHeight="1">
      <c r="A87" s="20" t="s">
        <v>108</v>
      </c>
      <c r="B87" s="21" t="s">
        <v>109</v>
      </c>
      <c r="C87" s="21"/>
      <c r="D87" s="22">
        <f>D88</f>
        <v>4528016.3</v>
      </c>
      <c r="E87" s="22">
        <f>E88</f>
        <v>4528016.3</v>
      </c>
    </row>
    <row r="88" spans="1:5" s="27" customFormat="1" ht="77.25" customHeight="1">
      <c r="A88" s="30" t="s">
        <v>110</v>
      </c>
      <c r="B88" s="25" t="s">
        <v>111</v>
      </c>
      <c r="C88" s="25"/>
      <c r="D88" s="26">
        <f>SUM(D89:D90)</f>
        <v>4528016.3</v>
      </c>
      <c r="E88" s="26">
        <f>SUM(E89:E90)</f>
        <v>4528016.3</v>
      </c>
    </row>
    <row r="89" spans="1:5" ht="135.75" customHeight="1">
      <c r="A89" s="28" t="s">
        <v>112</v>
      </c>
      <c r="B89" s="16" t="s">
        <v>113</v>
      </c>
      <c r="C89" s="16">
        <v>100</v>
      </c>
      <c r="D89" s="29">
        <f>3315406.3+1077332</f>
        <v>4392738.3</v>
      </c>
      <c r="E89" s="29">
        <f>3315406.3+1077332</f>
        <v>4392738.3</v>
      </c>
    </row>
    <row r="90" spans="1:5" ht="96.75" customHeight="1">
      <c r="A90" s="31" t="s">
        <v>114</v>
      </c>
      <c r="B90" s="16" t="s">
        <v>113</v>
      </c>
      <c r="C90" s="16">
        <v>200</v>
      </c>
      <c r="D90" s="29">
        <f>135278</f>
        <v>135278</v>
      </c>
      <c r="E90" s="29">
        <f>135278</f>
        <v>135278</v>
      </c>
    </row>
    <row r="91" spans="1:5" ht="37.5">
      <c r="A91" s="20" t="s">
        <v>105</v>
      </c>
      <c r="B91" s="21" t="s">
        <v>11</v>
      </c>
      <c r="C91" s="16"/>
      <c r="D91" s="22">
        <f>D92+D96</f>
        <v>675000</v>
      </c>
      <c r="E91" s="22">
        <f>E92+E96</f>
        <v>675000</v>
      </c>
    </row>
    <row r="92" spans="1:5" ht="96.75" customHeight="1">
      <c r="A92" s="20" t="s">
        <v>107</v>
      </c>
      <c r="B92" s="21" t="s">
        <v>12</v>
      </c>
      <c r="C92" s="16"/>
      <c r="D92" s="22">
        <f>D93</f>
        <v>151500</v>
      </c>
      <c r="E92" s="22">
        <f>E93</f>
        <v>151500</v>
      </c>
    </row>
    <row r="93" spans="1:5" s="34" customFormat="1" ht="56.25">
      <c r="A93" s="30" t="s">
        <v>67</v>
      </c>
      <c r="B93" s="25" t="s">
        <v>13</v>
      </c>
      <c r="C93" s="25"/>
      <c r="D93" s="26">
        <f>SUM(D94:D95)</f>
        <v>151500</v>
      </c>
      <c r="E93" s="26">
        <f>SUM(E94:E95)</f>
        <v>151500</v>
      </c>
    </row>
    <row r="94" spans="1:5" s="34" customFormat="1" ht="93.75">
      <c r="A94" s="31" t="s">
        <v>62</v>
      </c>
      <c r="B94" s="16" t="s">
        <v>91</v>
      </c>
      <c r="C94" s="16">
        <v>200</v>
      </c>
      <c r="D94" s="29">
        <f>1500</f>
        <v>1500</v>
      </c>
      <c r="E94" s="29">
        <f>1500</f>
        <v>1500</v>
      </c>
    </row>
    <row r="95" spans="1:5" s="23" customFormat="1" ht="118.5" customHeight="1">
      <c r="A95" s="31" t="s">
        <v>171</v>
      </c>
      <c r="B95" s="16" t="s">
        <v>170</v>
      </c>
      <c r="C95" s="16">
        <v>200</v>
      </c>
      <c r="D95" s="29">
        <f>150000</f>
        <v>150000</v>
      </c>
      <c r="E95" s="29">
        <f>150000</f>
        <v>150000</v>
      </c>
    </row>
    <row r="96" spans="1:5" ht="76.5" customHeight="1">
      <c r="A96" s="20" t="s">
        <v>63</v>
      </c>
      <c r="B96" s="21" t="s">
        <v>14</v>
      </c>
      <c r="C96" s="16"/>
      <c r="D96" s="22">
        <f>D97</f>
        <v>523500</v>
      </c>
      <c r="E96" s="22">
        <f>E97</f>
        <v>523500</v>
      </c>
    </row>
    <row r="97" spans="1:5" s="34" customFormat="1" ht="56.25">
      <c r="A97" s="30" t="s">
        <v>68</v>
      </c>
      <c r="B97" s="25" t="s">
        <v>15</v>
      </c>
      <c r="C97" s="25"/>
      <c r="D97" s="26">
        <f>SUM(D98:D100)</f>
        <v>523500</v>
      </c>
      <c r="E97" s="26">
        <f>SUM(E98:E100)</f>
        <v>523500</v>
      </c>
    </row>
    <row r="98" spans="1:5" ht="96" customHeight="1">
      <c r="A98" s="31" t="s">
        <v>64</v>
      </c>
      <c r="B98" s="16" t="s">
        <v>92</v>
      </c>
      <c r="C98" s="16">
        <v>200</v>
      </c>
      <c r="D98" s="29">
        <f>211500</f>
        <v>211500</v>
      </c>
      <c r="E98" s="29">
        <f>211500</f>
        <v>211500</v>
      </c>
    </row>
    <row r="99" spans="1:5" ht="134.25" customHeight="1">
      <c r="A99" s="31" t="s">
        <v>69</v>
      </c>
      <c r="B99" s="16" t="s">
        <v>93</v>
      </c>
      <c r="C99" s="16">
        <v>200</v>
      </c>
      <c r="D99" s="29">
        <f>12000</f>
        <v>12000</v>
      </c>
      <c r="E99" s="29">
        <f>12000</f>
        <v>12000</v>
      </c>
    </row>
    <row r="100" spans="1:5" ht="56.25">
      <c r="A100" s="31" t="s">
        <v>65</v>
      </c>
      <c r="B100" s="16" t="s">
        <v>94</v>
      </c>
      <c r="C100" s="16">
        <v>800</v>
      </c>
      <c r="D100" s="29">
        <f>400000-100000</f>
        <v>300000</v>
      </c>
      <c r="E100" s="29">
        <f>300000</f>
        <v>300000</v>
      </c>
    </row>
    <row r="101" spans="1:5" ht="75">
      <c r="A101" s="20" t="s">
        <v>106</v>
      </c>
      <c r="B101" s="21" t="s">
        <v>46</v>
      </c>
      <c r="C101" s="16"/>
      <c r="D101" s="22">
        <f>D102+D105</f>
        <v>1528068.19</v>
      </c>
      <c r="E101" s="22">
        <f>E102+E105</f>
        <v>1528068.19</v>
      </c>
    </row>
    <row r="102" spans="1:5" ht="37.5">
      <c r="A102" s="20" t="s">
        <v>47</v>
      </c>
      <c r="B102" s="21" t="s">
        <v>48</v>
      </c>
      <c r="C102" s="16"/>
      <c r="D102" s="22">
        <f>D103</f>
        <v>1061628.19</v>
      </c>
      <c r="E102" s="22">
        <f>E103</f>
        <v>1061628.19</v>
      </c>
    </row>
    <row r="103" spans="1:5" s="27" customFormat="1" ht="37.5">
      <c r="A103" s="30" t="s">
        <v>49</v>
      </c>
      <c r="B103" s="25" t="s">
        <v>52</v>
      </c>
      <c r="C103" s="25"/>
      <c r="D103" s="26">
        <f>SUM(D104:D104)</f>
        <v>1061628.19</v>
      </c>
      <c r="E103" s="26">
        <f>SUM(E104:E104)</f>
        <v>1061628.19</v>
      </c>
    </row>
    <row r="104" spans="1:5" ht="59.25" customHeight="1">
      <c r="A104" s="31" t="s">
        <v>53</v>
      </c>
      <c r="B104" s="16" t="s">
        <v>117</v>
      </c>
      <c r="C104" s="16">
        <v>300</v>
      </c>
      <c r="D104" s="29">
        <f>1061628.19</f>
        <v>1061628.19</v>
      </c>
      <c r="E104" s="29">
        <f>1061628.19</f>
        <v>1061628.19</v>
      </c>
    </row>
    <row r="105" spans="1:5" ht="56.25">
      <c r="A105" s="20" t="s">
        <v>54</v>
      </c>
      <c r="B105" s="21" t="s">
        <v>51</v>
      </c>
      <c r="C105" s="16"/>
      <c r="D105" s="22">
        <f>D106</f>
        <v>466440</v>
      </c>
      <c r="E105" s="22">
        <f>E106</f>
        <v>466440</v>
      </c>
    </row>
    <row r="106" spans="1:5" s="27" customFormat="1" ht="56.25">
      <c r="A106" s="30" t="s">
        <v>50</v>
      </c>
      <c r="B106" s="25" t="s">
        <v>55</v>
      </c>
      <c r="C106" s="25"/>
      <c r="D106" s="26">
        <f>SUM(D107:D107)</f>
        <v>466440</v>
      </c>
      <c r="E106" s="26">
        <f>SUM(E107:E107)</f>
        <v>466440</v>
      </c>
    </row>
    <row r="107" spans="1:5" ht="137.25" customHeight="1">
      <c r="A107" s="31" t="s">
        <v>115</v>
      </c>
      <c r="B107" s="16" t="s">
        <v>116</v>
      </c>
      <c r="C107" s="16">
        <v>300</v>
      </c>
      <c r="D107" s="29">
        <f>466440</f>
        <v>466440</v>
      </c>
      <c r="E107" s="29">
        <f>466440</f>
        <v>466440</v>
      </c>
    </row>
    <row r="108" spans="1:5" s="38" customFormat="1" ht="77.25" customHeight="1">
      <c r="A108" s="37" t="s">
        <v>199</v>
      </c>
      <c r="B108" s="21" t="s">
        <v>200</v>
      </c>
      <c r="C108" s="21"/>
      <c r="D108" s="22">
        <f aca="true" t="shared" si="0" ref="D108:E110">D109</f>
        <v>1500789.47</v>
      </c>
      <c r="E108" s="22">
        <f t="shared" si="0"/>
        <v>0</v>
      </c>
    </row>
    <row r="109" spans="1:5" s="38" customFormat="1" ht="39.75" customHeight="1">
      <c r="A109" s="37" t="s">
        <v>201</v>
      </c>
      <c r="B109" s="21" t="s">
        <v>202</v>
      </c>
      <c r="C109" s="21"/>
      <c r="D109" s="22">
        <f t="shared" si="0"/>
        <v>1500789.47</v>
      </c>
      <c r="E109" s="22">
        <f t="shared" si="0"/>
        <v>0</v>
      </c>
    </row>
    <row r="110" spans="1:5" s="40" customFormat="1" ht="39.75" customHeight="1">
      <c r="A110" s="39" t="s">
        <v>203</v>
      </c>
      <c r="B110" s="25" t="s">
        <v>204</v>
      </c>
      <c r="C110" s="25"/>
      <c r="D110" s="26">
        <f t="shared" si="0"/>
        <v>1500789.47</v>
      </c>
      <c r="E110" s="26">
        <f t="shared" si="0"/>
        <v>0</v>
      </c>
    </row>
    <row r="111" spans="1:5" ht="78.75" customHeight="1">
      <c r="A111" s="31" t="s">
        <v>205</v>
      </c>
      <c r="B111" s="16" t="s">
        <v>206</v>
      </c>
      <c r="C111" s="16">
        <v>200</v>
      </c>
      <c r="D111" s="29">
        <f>789.47+1500000</f>
        <v>1500789.47</v>
      </c>
      <c r="E111" s="29">
        <f>0</f>
        <v>0</v>
      </c>
    </row>
    <row r="112" spans="1:5" s="38" customFormat="1" ht="39.75" customHeight="1">
      <c r="A112" s="41" t="s">
        <v>138</v>
      </c>
      <c r="B112" s="21" t="s">
        <v>139</v>
      </c>
      <c r="C112" s="21"/>
      <c r="D112" s="22">
        <f>D113</f>
        <v>2418434.45</v>
      </c>
      <c r="E112" s="22">
        <f>E113</f>
        <v>2418434.45</v>
      </c>
    </row>
    <row r="113" spans="1:5" s="23" customFormat="1" ht="56.25">
      <c r="A113" s="20" t="s">
        <v>29</v>
      </c>
      <c r="B113" s="21" t="s">
        <v>16</v>
      </c>
      <c r="C113" s="16"/>
      <c r="D113" s="22">
        <f>SUM(D114:D117)</f>
        <v>2418434.45</v>
      </c>
      <c r="E113" s="22">
        <f>SUM(E114:E117)</f>
        <v>2418434.45</v>
      </c>
    </row>
    <row r="114" spans="1:5" ht="135" customHeight="1">
      <c r="A114" s="31" t="s">
        <v>130</v>
      </c>
      <c r="B114" s="16" t="s">
        <v>17</v>
      </c>
      <c r="C114" s="16">
        <v>100</v>
      </c>
      <c r="D114" s="29">
        <f>731884.6</f>
        <v>731884.6</v>
      </c>
      <c r="E114" s="29">
        <f>731884.6</f>
        <v>731884.6</v>
      </c>
    </row>
    <row r="115" spans="1:5" ht="135" customHeight="1">
      <c r="A115" s="31" t="s">
        <v>98</v>
      </c>
      <c r="B115" s="16" t="s">
        <v>75</v>
      </c>
      <c r="C115" s="16">
        <v>100</v>
      </c>
      <c r="D115" s="29">
        <f>1172083.85</f>
        <v>1172083.85</v>
      </c>
      <c r="E115" s="29">
        <f>1172083.85</f>
        <v>1172083.85</v>
      </c>
    </row>
    <row r="116" spans="1:5" ht="98.25" customHeight="1">
      <c r="A116" s="31" t="s">
        <v>99</v>
      </c>
      <c r="B116" s="16" t="s">
        <v>75</v>
      </c>
      <c r="C116" s="16">
        <v>200</v>
      </c>
      <c r="D116" s="29">
        <f>484466</f>
        <v>484466</v>
      </c>
      <c r="E116" s="29">
        <f>484466</f>
        <v>484466</v>
      </c>
    </row>
    <row r="117" spans="1:5" ht="58.5" customHeight="1">
      <c r="A117" s="31" t="s">
        <v>166</v>
      </c>
      <c r="B117" s="16" t="s">
        <v>167</v>
      </c>
      <c r="C117" s="16">
        <v>800</v>
      </c>
      <c r="D117" s="29">
        <f>30000</f>
        <v>30000</v>
      </c>
      <c r="E117" s="29">
        <f>30000</f>
        <v>30000</v>
      </c>
    </row>
    <row r="118" spans="1:5" s="38" customFormat="1" ht="56.25">
      <c r="A118" s="20" t="s">
        <v>136</v>
      </c>
      <c r="B118" s="21" t="s">
        <v>137</v>
      </c>
      <c r="C118" s="21"/>
      <c r="D118" s="22">
        <f>D119</f>
        <v>414000</v>
      </c>
      <c r="E118" s="22">
        <f>E119</f>
        <v>414000</v>
      </c>
    </row>
    <row r="119" spans="1:5" s="27" customFormat="1" ht="75">
      <c r="A119" s="20" t="s">
        <v>30</v>
      </c>
      <c r="B119" s="21" t="s">
        <v>18</v>
      </c>
      <c r="C119" s="25"/>
      <c r="D119" s="22">
        <f>SUM(D120:D123)</f>
        <v>414000</v>
      </c>
      <c r="E119" s="22">
        <f>SUM(E120:E123)</f>
        <v>414000</v>
      </c>
    </row>
    <row r="120" spans="1:5" s="27" customFormat="1" ht="39.75" customHeight="1">
      <c r="A120" s="31" t="s">
        <v>151</v>
      </c>
      <c r="B120" s="16" t="s">
        <v>152</v>
      </c>
      <c r="C120" s="16">
        <v>800</v>
      </c>
      <c r="D120" s="29">
        <f>70000</f>
        <v>70000</v>
      </c>
      <c r="E120" s="29">
        <f>70000</f>
        <v>70000</v>
      </c>
    </row>
    <row r="121" spans="1:5" s="27" customFormat="1" ht="99" customHeight="1">
      <c r="A121" s="31" t="s">
        <v>158</v>
      </c>
      <c r="B121" s="16" t="s">
        <v>159</v>
      </c>
      <c r="C121" s="16">
        <v>200</v>
      </c>
      <c r="D121" s="29">
        <f>36000</f>
        <v>36000</v>
      </c>
      <c r="E121" s="29">
        <f>36000</f>
        <v>36000</v>
      </c>
    </row>
    <row r="122" spans="1:5" s="27" customFormat="1" ht="96" customHeight="1">
      <c r="A122" s="31" t="s">
        <v>176</v>
      </c>
      <c r="B122" s="16" t="s">
        <v>153</v>
      </c>
      <c r="C122" s="16">
        <v>200</v>
      </c>
      <c r="D122" s="29">
        <f>100000</f>
        <v>100000</v>
      </c>
      <c r="E122" s="29">
        <f>100000</f>
        <v>100000</v>
      </c>
    </row>
    <row r="123" spans="1:5" ht="77.25" customHeight="1">
      <c r="A123" s="31" t="s">
        <v>100</v>
      </c>
      <c r="B123" s="16" t="s">
        <v>76</v>
      </c>
      <c r="C123" s="16">
        <v>300</v>
      </c>
      <c r="D123" s="29">
        <f>208000</f>
        <v>208000</v>
      </c>
      <c r="E123" s="29">
        <f>208000</f>
        <v>208000</v>
      </c>
    </row>
    <row r="124" spans="1:5" s="8" customFormat="1" ht="18.75">
      <c r="A124" s="42" t="s">
        <v>131</v>
      </c>
      <c r="B124" s="42"/>
      <c r="C124" s="42"/>
      <c r="D124" s="22">
        <f>D23+D37+D91+D101+D112+D118+D108</f>
        <v>69013394.92</v>
      </c>
      <c r="E124" s="22">
        <f>E23+E37+E91+E101+E112+E118+E108</f>
        <v>61998196.81999999</v>
      </c>
    </row>
    <row r="125" spans="4:7" ht="18.75">
      <c r="D125" s="44"/>
      <c r="E125" s="4" t="s">
        <v>198</v>
      </c>
      <c r="F125" s="45"/>
      <c r="G125" s="45"/>
    </row>
    <row r="126" spans="2:7" s="23" customFormat="1" ht="18.75">
      <c r="B126" s="46"/>
      <c r="C126" s="47"/>
      <c r="D126" s="45"/>
      <c r="F126" s="45"/>
      <c r="G126" s="45"/>
    </row>
    <row r="129" spans="1:4" s="23" customFormat="1" ht="18.75">
      <c r="A129" s="48"/>
      <c r="B129" s="46"/>
      <c r="C129" s="47"/>
      <c r="D129" s="45"/>
    </row>
    <row r="130" spans="1:4" s="23" customFormat="1" ht="18.75">
      <c r="A130" s="49"/>
      <c r="B130" s="46"/>
      <c r="C130" s="47"/>
      <c r="D130" s="45"/>
    </row>
    <row r="131" ht="18.75">
      <c r="D131" s="45"/>
    </row>
  </sheetData>
  <sheetProtection/>
  <mergeCells count="21">
    <mergeCell ref="A6:E6"/>
    <mergeCell ref="A13:E13"/>
    <mergeCell ref="A7:E7"/>
    <mergeCell ref="C20:C21"/>
    <mergeCell ref="A20:A21"/>
    <mergeCell ref="A1:E1"/>
    <mergeCell ref="A2:E2"/>
    <mergeCell ref="A3:E3"/>
    <mergeCell ref="A4:E4"/>
    <mergeCell ref="A5:E5"/>
    <mergeCell ref="B20:B21"/>
    <mergeCell ref="A14:E14"/>
    <mergeCell ref="A8:E8"/>
    <mergeCell ref="A15:E15"/>
    <mergeCell ref="D10:E10"/>
    <mergeCell ref="A124:C124"/>
    <mergeCell ref="A16:E16"/>
    <mergeCell ref="A18:E18"/>
    <mergeCell ref="A11:E11"/>
    <mergeCell ref="A12:E12"/>
    <mergeCell ref="D20:E20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2021-12-21T10:58:55Z</dcterms:modified>
  <cp:category/>
  <cp:version/>
  <cp:contentType/>
  <cp:contentStatus/>
</cp:coreProperties>
</file>