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19" sheetId="1" r:id="rId1"/>
  </sheets>
  <definedNames>
    <definedName name="_xlnm.Print_Titles" localSheetId="0">'Прил. №6 Распред на 2019'!$21:$21</definedName>
  </definedNames>
  <calcPr fullCalcOnLoad="1"/>
</workbook>
</file>

<file path=xl/sharedStrings.xml><?xml version="1.0" encoding="utf-8"?>
<sst xmlns="http://schemas.openxmlformats.org/spreadsheetml/2006/main" count="260" uniqueCount="256">
  <si>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</si>
  <si>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</si>
  <si>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</si>
  <si>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</si>
  <si>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</si>
  <si>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</si>
  <si>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</si>
  <si>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</si>
  <si>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</si>
  <si>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</si>
  <si>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</si>
  <si>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</si>
  <si>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</si>
  <si>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</si>
  <si>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</si>
  <si>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</si>
  <si>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</si>
  <si>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</si>
  <si>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</si>
  <si>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</si>
  <si>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</si>
  <si>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</si>
  <si>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</si>
  <si>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</si>
  <si>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</si>
  <si>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</si>
  <si>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</si>
  <si>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</si>
  <si>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</si>
  <si>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</si>
  <si>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</si>
  <si>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</si>
  <si>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</si>
  <si>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</si>
  <si>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</si>
  <si>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</si>
  <si>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</si>
  <si>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</si>
  <si>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</si>
  <si>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</si>
  <si>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</si>
  <si>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</si>
  <si>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</si>
  <si>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</si>
  <si>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</si>
  <si>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</si>
  <si>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</si>
  <si>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</si>
  <si>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</si>
  <si>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</si>
  <si>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</si>
  <si>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</si>
  <si>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</si>
  <si>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</si>
  <si>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</si>
  <si>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</si>
  <si>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</si>
  <si>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</si>
  <si>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</si>
  <si>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</si>
  <si>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</si>
  <si>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</si>
  <si>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</si>
  <si>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</si>
  <si>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</si>
  <si>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</si>
  <si>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</si>
  <si>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</si>
  <si>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</si>
  <si>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</si>
  <si>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</si>
  <si>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</si>
  <si>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</si>
  <si>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</si>
  <si>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</si>
  <si>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</si>
  <si>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</si>
  <si>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</si>
  <si>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</si>
  <si>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</si>
  <si>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</si>
  <si>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</si>
  <si>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</si>
  <si>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</si>
  <si>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</si>
  <si>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</si>
  <si>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</si>
  <si>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</si>
  <si>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</si>
  <si>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</si>
  <si>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</si>
  <si>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</si>
  <si>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</si>
  <si>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</si>
  <si>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</si>
  <si>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</si>
  <si>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</si>
  <si>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</si>
  <si>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</si>
  <si>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</si>
  <si>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</si>
  <si>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</si>
  <si>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</si>
  <si>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</si>
  <si>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</si>
  <si>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</si>
  <si>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</si>
  <si>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</si>
  <si>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</si>
  <si>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</si>
  <si>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</si>
  <si>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</si>
  <si>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</si>
  <si>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</si>
  <si>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</si>
  <si>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</si>
  <si>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</si>
  <si>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</si>
  <si>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</si>
  <si>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</si>
  <si>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</si>
  <si>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</si>
  <si>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</si>
  <si>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</si>
  <si>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</si>
  <si>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02 2 01 20490</t>
  </si>
  <si>
    <t>02 1 01 20680</t>
  </si>
  <si>
    <t xml:space="preserve">02 3 01 20690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</si>
  <si>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</si>
  <si>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</si>
  <si>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</si>
  <si>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</si>
  <si>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</si>
  <si>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</si>
  <si>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</si>
  <si>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</si>
  <si>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</si>
  <si>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</si>
  <si>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 xml:space="preserve">31 9 00 20670 </t>
  </si>
  <si>
    <t>06 0 00 00000</t>
  </si>
  <si>
    <t>06 1 00 00000</t>
  </si>
  <si>
    <t>06 1 01 00000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</si>
  <si>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</si>
  <si>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</si>
  <si>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Основное мероприятие "Формирование современной городской среды"</t>
  </si>
  <si>
    <t xml:space="preserve">Содержание и обслуживание казны (Иные бюджетные ассигнования) </t>
  </si>
  <si>
    <t>31 9 00 20340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</si>
  <si>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</si>
  <si>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02 1 01 20820 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</si>
  <si>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</si>
  <si>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</si>
  <si>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</si>
  <si>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</si>
  <si>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</si>
  <si>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</si>
  <si>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</si>
  <si>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</si>
  <si>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</si>
  <si>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</si>
  <si>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</si>
  <si>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</si>
  <si>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</si>
  <si>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</si>
  <si>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</si>
  <si>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</si>
  <si>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</si>
  <si>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2019 год</t>
  </si>
  <si>
    <t>Наименование</t>
  </si>
  <si>
    <t>Целевая статья</t>
  </si>
  <si>
    <t>Вид расходов</t>
  </si>
  <si>
    <t>Сумма, руб.</t>
  </si>
  <si>
    <t>Непрограммные направления деятельности  органов местного самоуправления</t>
  </si>
  <si>
    <t>30 0 00 00000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</si>
  <si>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</si>
  <si>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</si>
  <si>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</si>
  <si>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</si>
  <si>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</si>
  <si>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</si>
  <si>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</si>
  <si>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</si>
  <si>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</si>
  <si>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</si>
  <si>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</si>
  <si>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</si>
  <si>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</si>
  <si>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</si>
  <si>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</si>
  <si>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</si>
  <si>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</si>
  <si>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</si>
  <si>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</si>
  <si>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02 3 01 20890</t>
  </si>
  <si>
    <t>02 3 01 20900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</si>
  <si>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</si>
  <si>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02 3 01 20910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</si>
  <si>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</si>
  <si>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02 3 01 20920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</si>
  <si>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</si>
  <si>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</si>
  <si>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</si>
  <si>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31 9 00 81980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</si>
  <si>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</si>
  <si>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</si>
  <si>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</si>
  <si>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</si>
  <si>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</si>
  <si>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</si>
  <si>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</si>
  <si>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</si>
  <si>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</si>
  <si>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55550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</si>
  <si>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</si>
  <si>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</si>
  <si>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</si>
  <si>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</si>
  <si>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02 3 01 S0511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</si>
  <si>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</si>
  <si>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</si>
  <si>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</si>
  <si>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31 9 00 20960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</si>
  <si>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</si>
  <si>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</si>
  <si>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</si>
  <si>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</si>
  <si>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</si>
  <si>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</si>
  <si>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</si>
  <si>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</si>
  <si>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</si>
  <si>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</si>
  <si>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</si>
  <si>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</si>
  <si>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</si>
  <si>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06 1 02 00000</t>
  </si>
  <si>
    <t>06 1 02 85100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</si>
  <si>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</si>
  <si>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</si>
  <si>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31 9 00 66040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</si>
  <si>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</si>
  <si>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</si>
  <si>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</si>
  <si>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</si>
  <si>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</si>
  <si>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</si>
  <si>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5</t>
  </si>
  <si>
    <t>«Приложение № 6</t>
  </si>
  <si>
    <t>»</t>
  </si>
  <si>
    <t>06 1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</si>
  <si>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</si>
  <si>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31 9 00 21010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</si>
  <si>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</si>
  <si>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</si>
  <si>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</si>
  <si>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Основное мероприятие "Формирование современной городской среды" проекта "Формирование комфортной городской среды""</t>
  </si>
  <si>
    <r>
      <t>от</t>
    </r>
    <r>
      <rPr>
        <u val="single"/>
        <sz val="14"/>
        <rFont val="Times New Roman"/>
        <family val="1"/>
      </rPr>
      <t xml:space="preserve"> 13.09.2019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45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</si>
</sst>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justify" vertical="top" wrapText="1"/>
    </xf>
    <xf numFmtId="2" fontId="44" fillId="0" borderId="0" xfId="0" applyNumberFormat="1" applyFont="1" applyFill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1" customWidth="1"/>
    <col min="2" max="2" width="21.28125" style="2" customWidth="1"/>
    <col min="3" max="3" width="9.8515625" style="3" customWidth="1"/>
    <col min="4" max="4" width="22.1406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37" t="s">
        <v>245</v>
      </c>
      <c r="B1" s="37"/>
      <c r="C1" s="37"/>
      <c r="D1" s="37"/>
    </row>
    <row r="2" spans="1:4" ht="18.75">
      <c r="A2" s="37" t="s">
        <v>239</v>
      </c>
      <c r="B2" s="37"/>
      <c r="C2" s="37"/>
      <c r="D2" s="37"/>
    </row>
    <row r="3" spans="1:4" ht="18.75">
      <c r="A3" s="37" t="s">
        <v>240</v>
      </c>
      <c r="B3" s="37"/>
      <c r="C3" s="37"/>
      <c r="D3" s="37"/>
    </row>
    <row r="4" spans="1:4" ht="18.75">
      <c r="A4" s="37" t="s">
        <v>241</v>
      </c>
      <c r="B4" s="37"/>
      <c r="C4" s="37"/>
      <c r="D4" s="37"/>
    </row>
    <row r="5" spans="1:4" ht="75" customHeight="1">
      <c r="A5" s="38" t="s">
        <v>242</v>
      </c>
      <c r="B5" s="38"/>
      <c r="C5" s="38"/>
      <c r="D5" s="38"/>
    </row>
    <row r="6" spans="1:4" ht="18.75">
      <c r="A6" s="37" t="s">
        <v>243</v>
      </c>
      <c r="B6" s="37"/>
      <c r="C6" s="37"/>
      <c r="D6" s="37"/>
    </row>
    <row r="7" spans="1:4" ht="18.75">
      <c r="A7" s="37" t="s">
        <v>244</v>
      </c>
      <c r="B7" s="37"/>
      <c r="C7" s="37"/>
      <c r="D7" s="37"/>
    </row>
    <row r="8" spans="1:4" ht="18.75">
      <c r="A8" s="37" t="s">
        <v>255</v>
      </c>
      <c r="B8" s="37"/>
      <c r="C8" s="37"/>
      <c r="D8" s="37"/>
    </row>
    <row r="10" spans="1:4" ht="18.75">
      <c r="A10" s="37" t="s">
        <v>246</v>
      </c>
      <c r="B10" s="37"/>
      <c r="C10" s="37"/>
      <c r="D10" s="37"/>
    </row>
    <row r="11" spans="1:4" ht="18.75">
      <c r="A11" s="37" t="s">
        <v>161</v>
      </c>
      <c r="B11" s="37"/>
      <c r="C11" s="37"/>
      <c r="D11" s="37"/>
    </row>
    <row r="12" spans="1:4" ht="18.75">
      <c r="A12" s="37" t="s">
        <v>162</v>
      </c>
      <c r="B12" s="37"/>
      <c r="C12" s="37"/>
      <c r="D12" s="37"/>
    </row>
    <row r="13" spans="1:4" ht="18.75">
      <c r="A13" s="37" t="s">
        <v>163</v>
      </c>
      <c r="B13" s="37"/>
      <c r="C13" s="37"/>
      <c r="D13" s="37"/>
    </row>
    <row r="14" spans="1:4" ht="18.75">
      <c r="A14" s="37" t="s">
        <v>164</v>
      </c>
      <c r="B14" s="37"/>
      <c r="C14" s="37"/>
      <c r="D14" s="37"/>
    </row>
    <row r="15" spans="1:4" ht="79.5" customHeight="1">
      <c r="A15" s="41" t="s">
        <v>165</v>
      </c>
      <c r="B15" s="41"/>
      <c r="C15" s="41"/>
      <c r="D15" s="41"/>
    </row>
    <row r="16" spans="1:4" ht="18.75">
      <c r="A16" s="37" t="s">
        <v>188</v>
      </c>
      <c r="B16" s="37"/>
      <c r="C16" s="37"/>
      <c r="D16" s="37"/>
    </row>
    <row r="18" spans="1:4" s="4" customFormat="1" ht="135.75" customHeight="1">
      <c r="A18" s="40" t="s">
        <v>166</v>
      </c>
      <c r="B18" s="40"/>
      <c r="C18" s="40"/>
      <c r="D18" s="40"/>
    </row>
    <row r="19" spans="2:3" ht="18.75">
      <c r="B19" s="5"/>
      <c r="C19" s="5"/>
    </row>
    <row r="20" spans="1:4" ht="56.25">
      <c r="A20" s="7" t="s">
        <v>167</v>
      </c>
      <c r="B20" s="17" t="s">
        <v>168</v>
      </c>
      <c r="C20" s="17" t="s">
        <v>169</v>
      </c>
      <c r="D20" s="7" t="s">
        <v>170</v>
      </c>
    </row>
    <row r="21" spans="1:4" ht="18.75">
      <c r="A21" s="6">
        <v>1</v>
      </c>
      <c r="B21" s="6">
        <v>2</v>
      </c>
      <c r="C21" s="6">
        <v>3</v>
      </c>
      <c r="D21" s="7">
        <v>4</v>
      </c>
    </row>
    <row r="22" spans="1:4" s="8" customFormat="1" ht="56.25">
      <c r="A22" s="22" t="s">
        <v>107</v>
      </c>
      <c r="B22" s="23" t="s">
        <v>0</v>
      </c>
      <c r="C22" s="7"/>
      <c r="D22" s="24">
        <f>D23+D26</f>
        <v>23600429.119999997</v>
      </c>
    </row>
    <row r="23" spans="1:4" s="8" customFormat="1" ht="58.5" customHeight="1">
      <c r="A23" s="22" t="s">
        <v>21</v>
      </c>
      <c r="B23" s="23" t="s">
        <v>1</v>
      </c>
      <c r="C23" s="23"/>
      <c r="D23" s="24">
        <f>D24</f>
        <v>100000</v>
      </c>
    </row>
    <row r="24" spans="1:4" s="9" customFormat="1" ht="56.25">
      <c r="A24" s="25" t="s">
        <v>20</v>
      </c>
      <c r="B24" s="26" t="s">
        <v>19</v>
      </c>
      <c r="C24" s="26"/>
      <c r="D24" s="27">
        <f>D25</f>
        <v>100000</v>
      </c>
    </row>
    <row r="25" spans="1:4" ht="138" customHeight="1">
      <c r="A25" s="28" t="s">
        <v>179</v>
      </c>
      <c r="B25" s="7" t="s">
        <v>80</v>
      </c>
      <c r="C25" s="7">
        <v>600</v>
      </c>
      <c r="D25" s="29">
        <f>100000</f>
        <v>100000</v>
      </c>
    </row>
    <row r="26" spans="1:4" ht="58.5" customHeight="1">
      <c r="A26" s="22" t="s">
        <v>106</v>
      </c>
      <c r="B26" s="23" t="s">
        <v>2</v>
      </c>
      <c r="C26" s="7"/>
      <c r="D26" s="24">
        <f>D27</f>
        <v>23500429.119999997</v>
      </c>
    </row>
    <row r="27" spans="1:4" s="9" customFormat="1" ht="78" customHeight="1">
      <c r="A27" s="30" t="s">
        <v>26</v>
      </c>
      <c r="B27" s="26" t="s">
        <v>3</v>
      </c>
      <c r="C27" s="26"/>
      <c r="D27" s="27">
        <f>SUM(D28:D39)</f>
        <v>23500429.119999997</v>
      </c>
    </row>
    <row r="28" spans="1:4" ht="98.25" customHeight="1">
      <c r="A28" s="31" t="s">
        <v>180</v>
      </c>
      <c r="B28" s="7" t="s">
        <v>71</v>
      </c>
      <c r="C28" s="7">
        <v>600</v>
      </c>
      <c r="D28" s="36">
        <f>15023204.6+100557.6+137450+128840+56800-56800+25000</f>
        <v>15415052.2</v>
      </c>
    </row>
    <row r="29" spans="1:4" ht="58.5" customHeight="1">
      <c r="A29" s="28" t="s">
        <v>33</v>
      </c>
      <c r="B29" s="7" t="s">
        <v>70</v>
      </c>
      <c r="C29" s="7">
        <v>600</v>
      </c>
      <c r="D29" s="29">
        <f>33440</f>
        <v>33440</v>
      </c>
    </row>
    <row r="30" spans="1:4" ht="57.75" customHeight="1">
      <c r="A30" s="28" t="s">
        <v>34</v>
      </c>
      <c r="B30" s="7" t="s">
        <v>81</v>
      </c>
      <c r="C30" s="7">
        <v>600</v>
      </c>
      <c r="D30" s="29">
        <f>5280</f>
        <v>5280</v>
      </c>
    </row>
    <row r="31" spans="1:4" ht="75">
      <c r="A31" s="28" t="s">
        <v>35</v>
      </c>
      <c r="B31" s="7" t="s">
        <v>82</v>
      </c>
      <c r="C31" s="7">
        <v>600</v>
      </c>
      <c r="D31" s="29">
        <f>268928+250000+150000</f>
        <v>668928</v>
      </c>
    </row>
    <row r="32" spans="1:4" ht="75">
      <c r="A32" s="31" t="s">
        <v>36</v>
      </c>
      <c r="B32" s="7" t="s">
        <v>83</v>
      </c>
      <c r="C32" s="7">
        <v>200</v>
      </c>
      <c r="D32" s="29">
        <f>77000</f>
        <v>77000</v>
      </c>
    </row>
    <row r="33" spans="1:4" ht="75">
      <c r="A33" s="31" t="s">
        <v>37</v>
      </c>
      <c r="B33" s="7" t="s">
        <v>84</v>
      </c>
      <c r="C33" s="7">
        <v>200</v>
      </c>
      <c r="D33" s="29">
        <f>158840+50000-28840-100000</f>
        <v>80000</v>
      </c>
    </row>
    <row r="34" spans="1:4" ht="93.75">
      <c r="A34" s="31" t="s">
        <v>190</v>
      </c>
      <c r="B34" s="7" t="s">
        <v>189</v>
      </c>
      <c r="C34" s="7">
        <v>600</v>
      </c>
      <c r="D34" s="29">
        <f>50000</f>
        <v>50000</v>
      </c>
    </row>
    <row r="35" spans="1:4" ht="78" customHeight="1">
      <c r="A35" s="31" t="s">
        <v>206</v>
      </c>
      <c r="B35" s="7" t="s">
        <v>205</v>
      </c>
      <c r="C35" s="7">
        <v>600</v>
      </c>
      <c r="D35" s="29">
        <f>126481+50000</f>
        <v>176481</v>
      </c>
    </row>
    <row r="36" spans="1:4" ht="97.5" customHeight="1">
      <c r="A36" s="31" t="s">
        <v>230</v>
      </c>
      <c r="B36" s="7" t="s">
        <v>224</v>
      </c>
      <c r="C36" s="7">
        <v>600</v>
      </c>
      <c r="D36" s="29">
        <f>99989</f>
        <v>99989</v>
      </c>
    </row>
    <row r="37" spans="1:4" ht="96.75" customHeight="1">
      <c r="A37" s="31" t="s">
        <v>231</v>
      </c>
      <c r="B37" s="7" t="s">
        <v>225</v>
      </c>
      <c r="C37" s="7">
        <v>600</v>
      </c>
      <c r="D37" s="29">
        <f>99900</f>
        <v>99900</v>
      </c>
    </row>
    <row r="38" spans="1:4" ht="134.25" customHeight="1">
      <c r="A38" s="28" t="s">
        <v>121</v>
      </c>
      <c r="B38" s="7" t="s">
        <v>122</v>
      </c>
      <c r="C38" s="7">
        <v>600</v>
      </c>
      <c r="D38" s="29">
        <f>5721151-105243</f>
        <v>5615908</v>
      </c>
    </row>
    <row r="39" spans="1:7" ht="192" customHeight="1">
      <c r="A39" s="31" t="s">
        <v>181</v>
      </c>
      <c r="B39" s="7" t="s">
        <v>72</v>
      </c>
      <c r="C39" s="7">
        <v>600</v>
      </c>
      <c r="D39" s="29">
        <f>596844+124806.92+400000+56800</f>
        <v>1178450.92</v>
      </c>
      <c r="E39" s="12"/>
      <c r="F39" s="19"/>
      <c r="G39" s="19"/>
    </row>
    <row r="40" spans="1:4" s="8" customFormat="1" ht="75">
      <c r="A40" s="22" t="s">
        <v>108</v>
      </c>
      <c r="B40" s="23" t="s">
        <v>4</v>
      </c>
      <c r="C40" s="23"/>
      <c r="D40" s="24">
        <f>D41+D50+D58+D72+D75+D78+D81+D89</f>
        <v>55146795.70000001</v>
      </c>
    </row>
    <row r="41" spans="1:4" s="8" customFormat="1" ht="56.25">
      <c r="A41" s="22" t="s">
        <v>39</v>
      </c>
      <c r="B41" s="23" t="s">
        <v>5</v>
      </c>
      <c r="C41" s="23"/>
      <c r="D41" s="24">
        <f>D42</f>
        <v>2561827.87</v>
      </c>
    </row>
    <row r="42" spans="1:4" s="9" customFormat="1" ht="75">
      <c r="A42" s="30" t="s">
        <v>27</v>
      </c>
      <c r="B42" s="26" t="s">
        <v>6</v>
      </c>
      <c r="C42" s="26"/>
      <c r="D42" s="27">
        <f>SUM(D43:D49)</f>
        <v>2561827.87</v>
      </c>
    </row>
    <row r="43" spans="1:4" ht="75">
      <c r="A43" s="31" t="s">
        <v>40</v>
      </c>
      <c r="B43" s="7" t="s">
        <v>73</v>
      </c>
      <c r="C43" s="7">
        <v>200</v>
      </c>
      <c r="D43" s="29">
        <f>230000-141319.8</f>
        <v>88680.20000000001</v>
      </c>
    </row>
    <row r="44" spans="1:4" ht="112.5">
      <c r="A44" s="31" t="s">
        <v>99</v>
      </c>
      <c r="B44" s="7" t="s">
        <v>85</v>
      </c>
      <c r="C44" s="7">
        <v>200</v>
      </c>
      <c r="D44" s="29">
        <f>1200000</f>
        <v>1200000</v>
      </c>
    </row>
    <row r="45" spans="1:4" ht="75">
      <c r="A45" s="31" t="s">
        <v>150</v>
      </c>
      <c r="B45" s="7" t="s">
        <v>151</v>
      </c>
      <c r="C45" s="7">
        <v>200</v>
      </c>
      <c r="D45" s="29">
        <f>66103+34000</f>
        <v>100103</v>
      </c>
    </row>
    <row r="46" spans="1:4" ht="75">
      <c r="A46" s="28" t="s">
        <v>41</v>
      </c>
      <c r="B46" s="7" t="s">
        <v>86</v>
      </c>
      <c r="C46" s="7">
        <v>200</v>
      </c>
      <c r="D46" s="36">
        <f>353572+99900+98620+46000-57000+98262</f>
        <v>639354</v>
      </c>
    </row>
    <row r="47" spans="1:4" ht="133.5" customHeight="1">
      <c r="A47" s="28" t="s">
        <v>128</v>
      </c>
      <c r="B47" s="7" t="s">
        <v>126</v>
      </c>
      <c r="C47" s="7">
        <v>200</v>
      </c>
      <c r="D47" s="29">
        <f>300000-116601.89-48831.44</f>
        <v>134566.66999999998</v>
      </c>
    </row>
    <row r="48" spans="1:4" ht="98.25" customHeight="1">
      <c r="A48" s="28" t="s">
        <v>214</v>
      </c>
      <c r="B48" s="7" t="s">
        <v>215</v>
      </c>
      <c r="C48" s="7">
        <v>200</v>
      </c>
      <c r="D48" s="29">
        <f>5700+75000+49924+18500</f>
        <v>149124</v>
      </c>
    </row>
    <row r="49" spans="1:4" ht="93.75">
      <c r="A49" s="32" t="s">
        <v>149</v>
      </c>
      <c r="B49" s="7" t="s">
        <v>148</v>
      </c>
      <c r="C49" s="7">
        <v>200</v>
      </c>
      <c r="D49" s="29">
        <f>200000+50000</f>
        <v>250000</v>
      </c>
    </row>
    <row r="50" spans="1:4" s="9" customFormat="1" ht="37.5">
      <c r="A50" s="22" t="s">
        <v>42</v>
      </c>
      <c r="B50" s="23" t="s">
        <v>7</v>
      </c>
      <c r="C50" s="26"/>
      <c r="D50" s="24">
        <f>D51</f>
        <v>13505852.72</v>
      </c>
    </row>
    <row r="51" spans="1:4" s="9" customFormat="1" ht="56.25">
      <c r="A51" s="30" t="s">
        <v>38</v>
      </c>
      <c r="B51" s="26" t="s">
        <v>8</v>
      </c>
      <c r="C51" s="26"/>
      <c r="D51" s="27">
        <f>SUM(D52:D57)</f>
        <v>13505852.72</v>
      </c>
    </row>
    <row r="52" spans="1:7" ht="114.75" customHeight="1">
      <c r="A52" s="31" t="s">
        <v>105</v>
      </c>
      <c r="B52" s="7" t="s">
        <v>74</v>
      </c>
      <c r="C52" s="7">
        <v>200</v>
      </c>
      <c r="D52" s="36">
        <f>3993648.79+72728+8800+20855+45024.1-1023-72728+38808</f>
        <v>4106112.89</v>
      </c>
      <c r="E52" s="12"/>
      <c r="F52" s="19"/>
      <c r="G52" s="19"/>
    </row>
    <row r="53" spans="1:4" ht="99.75" customHeight="1">
      <c r="A53" s="31" t="s">
        <v>182</v>
      </c>
      <c r="B53" s="7" t="s">
        <v>87</v>
      </c>
      <c r="C53" s="7">
        <v>200</v>
      </c>
      <c r="D53" s="29">
        <f>1829257</f>
        <v>1829257</v>
      </c>
    </row>
    <row r="54" spans="1:7" ht="98.25" customHeight="1">
      <c r="A54" s="31" t="s">
        <v>183</v>
      </c>
      <c r="B54" s="7" t="s">
        <v>88</v>
      </c>
      <c r="C54" s="7">
        <v>200</v>
      </c>
      <c r="D54" s="36">
        <f>5500000+800000+41641.95+7227.44+7227.44+295672+36062.26</f>
        <v>6687831.090000001</v>
      </c>
      <c r="E54" s="12"/>
      <c r="F54" s="19"/>
      <c r="G54" s="19"/>
    </row>
    <row r="55" spans="1:4" ht="60.75" customHeight="1">
      <c r="A55" s="31" t="s">
        <v>184</v>
      </c>
      <c r="B55" s="7" t="s">
        <v>89</v>
      </c>
      <c r="C55" s="7">
        <v>200</v>
      </c>
      <c r="D55" s="29">
        <f>142242.06+38400+5205+116873.56+36121.12+180000+10010</f>
        <v>528851.74</v>
      </c>
    </row>
    <row r="56" spans="1:4" ht="75">
      <c r="A56" s="31" t="s">
        <v>123</v>
      </c>
      <c r="B56" s="7" t="s">
        <v>124</v>
      </c>
      <c r="C56" s="7">
        <v>200</v>
      </c>
      <c r="D56" s="29">
        <f>525000-391000+25000</f>
        <v>159000</v>
      </c>
    </row>
    <row r="57" spans="1:4" ht="131.25">
      <c r="A57" s="31" t="s">
        <v>130</v>
      </c>
      <c r="B57" s="7" t="s">
        <v>125</v>
      </c>
      <c r="C57" s="7">
        <v>200</v>
      </c>
      <c r="D57" s="36">
        <f>239800-25000-20000</f>
        <v>194800</v>
      </c>
    </row>
    <row r="58" spans="1:4" ht="56.25">
      <c r="A58" s="22" t="s">
        <v>100</v>
      </c>
      <c r="B58" s="23" t="s">
        <v>9</v>
      </c>
      <c r="C58" s="7"/>
      <c r="D58" s="24">
        <f>D59+D70</f>
        <v>32101929.64</v>
      </c>
    </row>
    <row r="59" spans="1:4" s="10" customFormat="1" ht="56.25">
      <c r="A59" s="30" t="s">
        <v>28</v>
      </c>
      <c r="B59" s="26" t="s">
        <v>10</v>
      </c>
      <c r="C59" s="26"/>
      <c r="D59" s="27">
        <f>SUM(D60:D69)</f>
        <v>30355515.080000002</v>
      </c>
    </row>
    <row r="60" spans="1:4" ht="56.25">
      <c r="A60" s="31" t="s">
        <v>43</v>
      </c>
      <c r="B60" s="7" t="s">
        <v>90</v>
      </c>
      <c r="C60" s="7">
        <v>200</v>
      </c>
      <c r="D60" s="36">
        <f>13670193.9+900000+99900+1810000</f>
        <v>16480093.9</v>
      </c>
    </row>
    <row r="61" spans="1:7" ht="134.25" customHeight="1">
      <c r="A61" s="31" t="s">
        <v>44</v>
      </c>
      <c r="B61" s="7" t="s">
        <v>91</v>
      </c>
      <c r="C61" s="7">
        <v>200</v>
      </c>
      <c r="D61" s="36">
        <f>2794999-49953.8-7937.97-2105.26-50826-5700-296482.14-114879.87-161803.1-1255413.97-2678.24+500000</f>
        <v>1347218.65</v>
      </c>
      <c r="E61" s="20"/>
      <c r="F61" s="19"/>
      <c r="G61" s="19"/>
    </row>
    <row r="62" spans="1:4" ht="131.25">
      <c r="A62" s="31" t="s">
        <v>129</v>
      </c>
      <c r="B62" s="7" t="s">
        <v>127</v>
      </c>
      <c r="C62" s="7">
        <v>200</v>
      </c>
      <c r="D62" s="29">
        <f>342600-118600</f>
        <v>224000</v>
      </c>
    </row>
    <row r="63" spans="1:4" ht="77.25" customHeight="1">
      <c r="A63" s="32" t="s">
        <v>191</v>
      </c>
      <c r="B63" s="7" t="s">
        <v>192</v>
      </c>
      <c r="C63" s="7">
        <v>200</v>
      </c>
      <c r="D63" s="29">
        <f>463746.05</f>
        <v>463746.05</v>
      </c>
    </row>
    <row r="64" spans="1:4" ht="78" customHeight="1">
      <c r="A64" s="32" t="s">
        <v>198</v>
      </c>
      <c r="B64" s="7" t="s">
        <v>193</v>
      </c>
      <c r="C64" s="7">
        <v>200</v>
      </c>
      <c r="D64" s="29">
        <f>236356</f>
        <v>236356</v>
      </c>
    </row>
    <row r="65" spans="1:4" ht="77.25" customHeight="1">
      <c r="A65" s="32" t="s">
        <v>194</v>
      </c>
      <c r="B65" s="7" t="s">
        <v>195</v>
      </c>
      <c r="C65" s="7">
        <v>200</v>
      </c>
      <c r="D65" s="29">
        <f>1390498.03+3490.83-16811.14</f>
        <v>1377177.7200000002</v>
      </c>
    </row>
    <row r="66" spans="1:4" ht="78" customHeight="1">
      <c r="A66" s="32" t="s">
        <v>196</v>
      </c>
      <c r="B66" s="7" t="s">
        <v>197</v>
      </c>
      <c r="C66" s="7">
        <v>200</v>
      </c>
      <c r="D66" s="29">
        <f>1028340.67+2944.31-23631.6</f>
        <v>1007653.3800000001</v>
      </c>
    </row>
    <row r="67" spans="1:4" ht="156.75" customHeight="1">
      <c r="A67" s="33" t="s">
        <v>217</v>
      </c>
      <c r="B67" s="7" t="s">
        <v>216</v>
      </c>
      <c r="C67" s="7">
        <v>200</v>
      </c>
      <c r="D67" s="29">
        <f>2571079.26</f>
        <v>2571079.26</v>
      </c>
    </row>
    <row r="68" spans="1:4" ht="152.25" customHeight="1">
      <c r="A68" s="33" t="s">
        <v>219</v>
      </c>
      <c r="B68" s="7" t="s">
        <v>218</v>
      </c>
      <c r="C68" s="7">
        <v>200</v>
      </c>
      <c r="D68" s="29">
        <f>3358563.32</f>
        <v>3358563.32</v>
      </c>
    </row>
    <row r="69" spans="1:4" ht="152.25" customHeight="1">
      <c r="A69" s="33" t="s">
        <v>232</v>
      </c>
      <c r="B69" s="7" t="s">
        <v>233</v>
      </c>
      <c r="C69" s="7">
        <v>200</v>
      </c>
      <c r="D69" s="29">
        <f>3125145.46+164481.34</f>
        <v>3289626.8</v>
      </c>
    </row>
    <row r="70" spans="1:4" s="9" customFormat="1" ht="56.25">
      <c r="A70" s="30" t="s">
        <v>175</v>
      </c>
      <c r="B70" s="26" t="s">
        <v>176</v>
      </c>
      <c r="C70" s="26"/>
      <c r="D70" s="27">
        <f>D71</f>
        <v>1746414.56</v>
      </c>
    </row>
    <row r="71" spans="1:4" ht="117.75" customHeight="1">
      <c r="A71" s="31" t="s">
        <v>177</v>
      </c>
      <c r="B71" s="7" t="s">
        <v>178</v>
      </c>
      <c r="C71" s="7">
        <v>200</v>
      </c>
      <c r="D71" s="29">
        <f>1746414.56</f>
        <v>1746414.56</v>
      </c>
    </row>
    <row r="72" spans="1:4" ht="56.25">
      <c r="A72" s="22" t="s">
        <v>101</v>
      </c>
      <c r="B72" s="23" t="s">
        <v>22</v>
      </c>
      <c r="C72" s="23"/>
      <c r="D72" s="24">
        <f>D73</f>
        <v>319314.38</v>
      </c>
    </row>
    <row r="73" spans="1:4" s="9" customFormat="1" ht="37.5">
      <c r="A73" s="30" t="s">
        <v>30</v>
      </c>
      <c r="B73" s="26" t="s">
        <v>23</v>
      </c>
      <c r="C73" s="26"/>
      <c r="D73" s="27">
        <f>D74</f>
        <v>319314.38</v>
      </c>
    </row>
    <row r="74" spans="1:4" ht="75">
      <c r="A74" s="31" t="s">
        <v>45</v>
      </c>
      <c r="B74" s="7" t="s">
        <v>92</v>
      </c>
      <c r="C74" s="7">
        <v>200</v>
      </c>
      <c r="D74" s="36">
        <f>389044-14859.36-54870.26</f>
        <v>319314.38</v>
      </c>
    </row>
    <row r="75" spans="1:4" ht="133.5" customHeight="1">
      <c r="A75" s="22" t="s">
        <v>186</v>
      </c>
      <c r="B75" s="23" t="s">
        <v>24</v>
      </c>
      <c r="C75" s="23"/>
      <c r="D75" s="24">
        <f>D76</f>
        <v>311918.80999999994</v>
      </c>
    </row>
    <row r="76" spans="1:4" s="9" customFormat="1" ht="75">
      <c r="A76" s="30" t="s">
        <v>46</v>
      </c>
      <c r="B76" s="26" t="s">
        <v>25</v>
      </c>
      <c r="C76" s="26"/>
      <c r="D76" s="27">
        <f>D77</f>
        <v>311918.80999999994</v>
      </c>
    </row>
    <row r="77" spans="1:4" ht="116.25" customHeight="1">
      <c r="A77" s="28" t="s">
        <v>47</v>
      </c>
      <c r="B77" s="7" t="s">
        <v>78</v>
      </c>
      <c r="C77" s="7">
        <v>800</v>
      </c>
      <c r="D77" s="29">
        <f>1900000-1746414.56+158333.37</f>
        <v>311918.80999999994</v>
      </c>
    </row>
    <row r="78" spans="1:4" ht="117" customHeight="1">
      <c r="A78" s="22" t="s">
        <v>187</v>
      </c>
      <c r="B78" s="23" t="s">
        <v>48</v>
      </c>
      <c r="C78" s="23"/>
      <c r="D78" s="24">
        <f>D79</f>
        <v>2400000</v>
      </c>
    </row>
    <row r="79" spans="1:4" s="9" customFormat="1" ht="56.25">
      <c r="A79" s="30" t="s">
        <v>50</v>
      </c>
      <c r="B79" s="26" t="s">
        <v>49</v>
      </c>
      <c r="C79" s="26"/>
      <c r="D79" s="27">
        <f>D80</f>
        <v>2400000</v>
      </c>
    </row>
    <row r="80" spans="1:4" ht="115.5" customHeight="1">
      <c r="A80" s="28" t="s">
        <v>185</v>
      </c>
      <c r="B80" s="7" t="s">
        <v>79</v>
      </c>
      <c r="C80" s="7">
        <v>800</v>
      </c>
      <c r="D80" s="29">
        <f>2400000</f>
        <v>2400000</v>
      </c>
    </row>
    <row r="81" spans="1:4" s="10" customFormat="1" ht="56.25">
      <c r="A81" s="22" t="s">
        <v>58</v>
      </c>
      <c r="B81" s="23" t="s">
        <v>59</v>
      </c>
      <c r="C81" s="7"/>
      <c r="D81" s="24">
        <f>D82+D85+D87</f>
        <v>714700</v>
      </c>
    </row>
    <row r="82" spans="1:4" s="10" customFormat="1" ht="37.5">
      <c r="A82" s="30" t="s">
        <v>60</v>
      </c>
      <c r="B82" s="26" t="s">
        <v>56</v>
      </c>
      <c r="C82" s="26"/>
      <c r="D82" s="27">
        <f>SUM(D83:D84)</f>
        <v>170000</v>
      </c>
    </row>
    <row r="83" spans="1:4" s="8" customFormat="1" ht="56.25">
      <c r="A83" s="31" t="s">
        <v>152</v>
      </c>
      <c r="B83" s="7" t="s">
        <v>153</v>
      </c>
      <c r="C83" s="7">
        <v>200</v>
      </c>
      <c r="D83" s="29">
        <f>20000</f>
        <v>20000</v>
      </c>
    </row>
    <row r="84" spans="1:4" ht="93.75">
      <c r="A84" s="31" t="s">
        <v>158</v>
      </c>
      <c r="B84" s="7" t="s">
        <v>93</v>
      </c>
      <c r="C84" s="7">
        <v>200</v>
      </c>
      <c r="D84" s="29">
        <f>150000</f>
        <v>150000</v>
      </c>
    </row>
    <row r="85" spans="1:4" s="9" customFormat="1" ht="37.5">
      <c r="A85" s="30" t="s">
        <v>29</v>
      </c>
      <c r="B85" s="26" t="s">
        <v>66</v>
      </c>
      <c r="C85" s="7"/>
      <c r="D85" s="27">
        <f>D86</f>
        <v>341200</v>
      </c>
    </row>
    <row r="86" spans="1:4" ht="93.75">
      <c r="A86" s="31" t="s">
        <v>57</v>
      </c>
      <c r="B86" s="7" t="s">
        <v>94</v>
      </c>
      <c r="C86" s="7">
        <v>200</v>
      </c>
      <c r="D86" s="29">
        <f>341200</f>
        <v>341200</v>
      </c>
    </row>
    <row r="87" spans="1:4" s="9" customFormat="1" ht="75">
      <c r="A87" s="30" t="s">
        <v>154</v>
      </c>
      <c r="B87" s="26" t="s">
        <v>155</v>
      </c>
      <c r="C87" s="26"/>
      <c r="D87" s="27">
        <f>D88</f>
        <v>203500</v>
      </c>
    </row>
    <row r="88" spans="1:4" ht="114" customHeight="1">
      <c r="A88" s="31" t="s">
        <v>156</v>
      </c>
      <c r="B88" s="7" t="s">
        <v>157</v>
      </c>
      <c r="C88" s="7">
        <v>200</v>
      </c>
      <c r="D88" s="29">
        <f>203500</f>
        <v>203500</v>
      </c>
    </row>
    <row r="89" spans="1:4" s="10" customFormat="1" ht="116.25" customHeight="1">
      <c r="A89" s="22" t="s">
        <v>112</v>
      </c>
      <c r="B89" s="23" t="s">
        <v>113</v>
      </c>
      <c r="C89" s="23"/>
      <c r="D89" s="24">
        <f>D90</f>
        <v>3231252.2800000003</v>
      </c>
    </row>
    <row r="90" spans="1:4" s="9" customFormat="1" ht="75">
      <c r="A90" s="30" t="s">
        <v>114</v>
      </c>
      <c r="B90" s="26" t="s">
        <v>115</v>
      </c>
      <c r="C90" s="26"/>
      <c r="D90" s="27">
        <f>SUM(D91:D93)</f>
        <v>3231252.2800000003</v>
      </c>
    </row>
    <row r="91" spans="1:4" ht="133.5" customHeight="1">
      <c r="A91" s="28" t="s">
        <v>116</v>
      </c>
      <c r="B91" s="7" t="s">
        <v>117</v>
      </c>
      <c r="C91" s="7">
        <v>100</v>
      </c>
      <c r="D91" s="29">
        <f>2346507.29+708645.2+40821.79-50000</f>
        <v>3045974.2800000003</v>
      </c>
    </row>
    <row r="92" spans="1:4" ht="96.75" customHeight="1">
      <c r="A92" s="31" t="s">
        <v>118</v>
      </c>
      <c r="B92" s="7" t="s">
        <v>117</v>
      </c>
      <c r="C92" s="7">
        <v>200</v>
      </c>
      <c r="D92" s="29">
        <f>135278-51200-5000</f>
        <v>79078</v>
      </c>
    </row>
    <row r="93" spans="1:4" ht="60" customHeight="1">
      <c r="A93" s="31" t="s">
        <v>207</v>
      </c>
      <c r="B93" s="7" t="s">
        <v>117</v>
      </c>
      <c r="C93" s="7">
        <v>800</v>
      </c>
      <c r="D93" s="29">
        <f>1200+50000+5000+50000</f>
        <v>106200</v>
      </c>
    </row>
    <row r="94" spans="1:4" ht="37.5">
      <c r="A94" s="22" t="s">
        <v>109</v>
      </c>
      <c r="B94" s="23" t="s">
        <v>11</v>
      </c>
      <c r="C94" s="7"/>
      <c r="D94" s="24">
        <f>D95+D99</f>
        <v>690000</v>
      </c>
    </row>
    <row r="95" spans="1:4" ht="96.75" customHeight="1">
      <c r="A95" s="22" t="s">
        <v>111</v>
      </c>
      <c r="B95" s="23" t="s">
        <v>12</v>
      </c>
      <c r="C95" s="7"/>
      <c r="D95" s="24">
        <f>D96</f>
        <v>89500</v>
      </c>
    </row>
    <row r="96" spans="1:4" s="10" customFormat="1" ht="56.25">
      <c r="A96" s="30" t="s">
        <v>67</v>
      </c>
      <c r="B96" s="26" t="s">
        <v>13</v>
      </c>
      <c r="C96" s="26"/>
      <c r="D96" s="27">
        <f>SUM(D97:D98)</f>
        <v>89500</v>
      </c>
    </row>
    <row r="97" spans="1:4" ht="93.75">
      <c r="A97" s="31" t="s">
        <v>61</v>
      </c>
      <c r="B97" s="7" t="s">
        <v>95</v>
      </c>
      <c r="C97" s="7">
        <v>200</v>
      </c>
      <c r="D97" s="29">
        <f>1500</f>
        <v>1500</v>
      </c>
    </row>
    <row r="98" spans="1:4" ht="93.75">
      <c r="A98" s="31" t="s">
        <v>62</v>
      </c>
      <c r="B98" s="7" t="s">
        <v>75</v>
      </c>
      <c r="C98" s="7">
        <v>400</v>
      </c>
      <c r="D98" s="29">
        <f>88000</f>
        <v>88000</v>
      </c>
    </row>
    <row r="99" spans="1:4" ht="77.25" customHeight="1">
      <c r="A99" s="22" t="s">
        <v>63</v>
      </c>
      <c r="B99" s="23" t="s">
        <v>14</v>
      </c>
      <c r="C99" s="7"/>
      <c r="D99" s="24">
        <f>D100</f>
        <v>600500</v>
      </c>
    </row>
    <row r="100" spans="1:4" s="10" customFormat="1" ht="56.25">
      <c r="A100" s="30" t="s">
        <v>68</v>
      </c>
      <c r="B100" s="26" t="s">
        <v>15</v>
      </c>
      <c r="C100" s="26"/>
      <c r="D100" s="27">
        <f>SUM(D101:D103)</f>
        <v>600500</v>
      </c>
    </row>
    <row r="101" spans="1:4" ht="96.75" customHeight="1">
      <c r="A101" s="31" t="s">
        <v>64</v>
      </c>
      <c r="B101" s="7" t="s">
        <v>96</v>
      </c>
      <c r="C101" s="7">
        <v>200</v>
      </c>
      <c r="D101" s="29">
        <f>61500+150000+37000</f>
        <v>248500</v>
      </c>
    </row>
    <row r="102" spans="1:4" ht="134.25" customHeight="1">
      <c r="A102" s="31" t="s">
        <v>69</v>
      </c>
      <c r="B102" s="7" t="s">
        <v>97</v>
      </c>
      <c r="C102" s="7">
        <v>200</v>
      </c>
      <c r="D102" s="29">
        <f>12000</f>
        <v>12000</v>
      </c>
    </row>
    <row r="103" spans="1:4" ht="56.25">
      <c r="A103" s="31" t="s">
        <v>65</v>
      </c>
      <c r="B103" s="7" t="s">
        <v>98</v>
      </c>
      <c r="C103" s="7">
        <v>800</v>
      </c>
      <c r="D103" s="29">
        <f>400000-20000-20000-20000</f>
        <v>340000</v>
      </c>
    </row>
    <row r="104" spans="1:4" ht="75">
      <c r="A104" s="22" t="s">
        <v>110</v>
      </c>
      <c r="B104" s="23" t="s">
        <v>51</v>
      </c>
      <c r="C104" s="7"/>
      <c r="D104" s="24">
        <f>D105</f>
        <v>358800</v>
      </c>
    </row>
    <row r="105" spans="1:4" ht="56.25">
      <c r="A105" s="22" t="s">
        <v>54</v>
      </c>
      <c r="B105" s="23" t="s">
        <v>53</v>
      </c>
      <c r="C105" s="7"/>
      <c r="D105" s="24">
        <f>D106</f>
        <v>358800</v>
      </c>
    </row>
    <row r="106" spans="1:4" s="9" customFormat="1" ht="56.25">
      <c r="A106" s="30" t="s">
        <v>52</v>
      </c>
      <c r="B106" s="26" t="s">
        <v>55</v>
      </c>
      <c r="C106" s="26"/>
      <c r="D106" s="27">
        <f>SUM(D107:D107)</f>
        <v>358800</v>
      </c>
    </row>
    <row r="107" spans="1:4" ht="133.5" customHeight="1">
      <c r="A107" s="31" t="s">
        <v>131</v>
      </c>
      <c r="B107" s="7" t="s">
        <v>132</v>
      </c>
      <c r="C107" s="7">
        <v>300</v>
      </c>
      <c r="D107" s="29">
        <f>295099+63701</f>
        <v>358800</v>
      </c>
    </row>
    <row r="108" spans="1:4" s="8" customFormat="1" ht="75">
      <c r="A108" s="22" t="s">
        <v>142</v>
      </c>
      <c r="B108" s="23" t="s">
        <v>139</v>
      </c>
      <c r="C108" s="23"/>
      <c r="D108" s="24">
        <f>D109</f>
        <v>67787012.7</v>
      </c>
    </row>
    <row r="109" spans="1:4" s="8" customFormat="1" ht="37.5">
      <c r="A109" s="22" t="s">
        <v>143</v>
      </c>
      <c r="B109" s="23" t="s">
        <v>140</v>
      </c>
      <c r="C109" s="23"/>
      <c r="D109" s="24">
        <f>D110+D112+D114</f>
        <v>67787012.7</v>
      </c>
    </row>
    <row r="110" spans="1:4" s="9" customFormat="1" ht="37.5">
      <c r="A110" s="30" t="s">
        <v>144</v>
      </c>
      <c r="B110" s="26" t="s">
        <v>141</v>
      </c>
      <c r="C110" s="26"/>
      <c r="D110" s="27">
        <f>SUM(D111:D111)</f>
        <v>3650854.48</v>
      </c>
    </row>
    <row r="111" spans="1:4" s="9" customFormat="1" ht="78" customHeight="1">
      <c r="A111" s="31" t="s">
        <v>204</v>
      </c>
      <c r="B111" s="7" t="s">
        <v>199</v>
      </c>
      <c r="C111" s="7">
        <v>200</v>
      </c>
      <c r="D111" s="29">
        <f>2584683+719474+50826+136000+162960.1-3088.62</f>
        <v>3650854.48</v>
      </c>
    </row>
    <row r="112" spans="1:4" s="9" customFormat="1" ht="58.5" customHeight="1">
      <c r="A112" s="30" t="s">
        <v>254</v>
      </c>
      <c r="B112" s="26" t="s">
        <v>234</v>
      </c>
      <c r="C112" s="26"/>
      <c r="D112" s="27">
        <f>D113</f>
        <v>134052.96</v>
      </c>
    </row>
    <row r="113" spans="1:4" s="9" customFormat="1" ht="78" customHeight="1">
      <c r="A113" s="31" t="s">
        <v>236</v>
      </c>
      <c r="B113" s="7" t="s">
        <v>235</v>
      </c>
      <c r="C113" s="7">
        <v>200</v>
      </c>
      <c r="D113" s="29">
        <f>134052.96</f>
        <v>134052.96</v>
      </c>
    </row>
    <row r="114" spans="1:4" s="9" customFormat="1" ht="42.75" customHeight="1">
      <c r="A114" s="30" t="s">
        <v>208</v>
      </c>
      <c r="B114" s="26" t="s">
        <v>209</v>
      </c>
      <c r="C114" s="26"/>
      <c r="D114" s="27">
        <f>SUM(D115:D117)</f>
        <v>64002105.26</v>
      </c>
    </row>
    <row r="115" spans="1:4" s="9" customFormat="1" ht="116.25" customHeight="1">
      <c r="A115" s="31" t="s">
        <v>249</v>
      </c>
      <c r="B115" s="7" t="s">
        <v>248</v>
      </c>
      <c r="C115" s="7">
        <v>200</v>
      </c>
      <c r="D115" s="36">
        <f>55800000</f>
        <v>55800000</v>
      </c>
    </row>
    <row r="116" spans="1:4" s="9" customFormat="1" ht="233.25" customHeight="1">
      <c r="A116" s="28" t="s">
        <v>229</v>
      </c>
      <c r="B116" s="7" t="s">
        <v>228</v>
      </c>
      <c r="C116" s="7">
        <v>200</v>
      </c>
      <c r="D116" s="29">
        <f>4200000</f>
        <v>4200000</v>
      </c>
    </row>
    <row r="117" spans="1:4" ht="79.5" customHeight="1">
      <c r="A117" s="31" t="s">
        <v>210</v>
      </c>
      <c r="B117" s="7" t="s">
        <v>211</v>
      </c>
      <c r="C117" s="7">
        <v>200</v>
      </c>
      <c r="D117" s="29">
        <f>4002105.26</f>
        <v>4002105.26</v>
      </c>
    </row>
    <row r="118" spans="1:4" s="18" customFormat="1" ht="37.5">
      <c r="A118" s="22" t="s">
        <v>171</v>
      </c>
      <c r="B118" s="23" t="s">
        <v>172</v>
      </c>
      <c r="C118" s="23"/>
      <c r="D118" s="24">
        <f>D119</f>
        <v>2427517.75</v>
      </c>
    </row>
    <row r="119" spans="1:4" s="8" customFormat="1" ht="56.25">
      <c r="A119" s="22" t="s">
        <v>31</v>
      </c>
      <c r="B119" s="23" t="s">
        <v>16</v>
      </c>
      <c r="C119" s="7"/>
      <c r="D119" s="24">
        <f>SUM(D120:D123)</f>
        <v>2427517.75</v>
      </c>
    </row>
    <row r="120" spans="1:4" ht="133.5" customHeight="1">
      <c r="A120" s="31" t="s">
        <v>159</v>
      </c>
      <c r="B120" s="7" t="s">
        <v>17</v>
      </c>
      <c r="C120" s="7">
        <v>100</v>
      </c>
      <c r="D120" s="29">
        <f>701711.03+7543.38</f>
        <v>709254.41</v>
      </c>
    </row>
    <row r="121" spans="1:4" ht="133.5" customHeight="1">
      <c r="A121" s="31" t="s">
        <v>102</v>
      </c>
      <c r="B121" s="7" t="s">
        <v>76</v>
      </c>
      <c r="C121" s="7">
        <v>100</v>
      </c>
      <c r="D121" s="29">
        <f>495915.92+313626.02+156617.09+87205.36+914.16+51880+14870+11103.79</f>
        <v>1132132.3399999999</v>
      </c>
    </row>
    <row r="122" spans="1:4" ht="95.25" customHeight="1">
      <c r="A122" s="31" t="s">
        <v>103</v>
      </c>
      <c r="B122" s="7" t="s">
        <v>76</v>
      </c>
      <c r="C122" s="7">
        <v>200</v>
      </c>
      <c r="D122" s="29">
        <f>48600+186010+21841+165315+5225+57475+142159-66750</f>
        <v>559875</v>
      </c>
    </row>
    <row r="123" spans="1:4" ht="58.5" customHeight="1">
      <c r="A123" s="31" t="s">
        <v>212</v>
      </c>
      <c r="B123" s="7" t="s">
        <v>213</v>
      </c>
      <c r="C123" s="7">
        <v>800</v>
      </c>
      <c r="D123" s="29">
        <f>26256</f>
        <v>26256</v>
      </c>
    </row>
    <row r="124" spans="1:4" s="18" customFormat="1" ht="56.25">
      <c r="A124" s="22" t="s">
        <v>173</v>
      </c>
      <c r="B124" s="23" t="s">
        <v>174</v>
      </c>
      <c r="C124" s="23"/>
      <c r="D124" s="24">
        <f>D125</f>
        <v>6289214.58</v>
      </c>
    </row>
    <row r="125" spans="1:4" s="9" customFormat="1" ht="75">
      <c r="A125" s="22" t="s">
        <v>32</v>
      </c>
      <c r="B125" s="23" t="s">
        <v>18</v>
      </c>
      <c r="C125" s="26"/>
      <c r="D125" s="24">
        <f>SUM(D126:D140)</f>
        <v>6289214.58</v>
      </c>
    </row>
    <row r="126" spans="1:4" ht="56.25">
      <c r="A126" s="31" t="s">
        <v>147</v>
      </c>
      <c r="B126" s="7" t="s">
        <v>146</v>
      </c>
      <c r="C126" s="7">
        <v>200</v>
      </c>
      <c r="D126" s="29">
        <f>50000+30005-50000</f>
        <v>30005</v>
      </c>
    </row>
    <row r="127" spans="1:4" ht="37.5">
      <c r="A127" s="31" t="s">
        <v>145</v>
      </c>
      <c r="B127" s="7" t="s">
        <v>146</v>
      </c>
      <c r="C127" s="7">
        <v>800</v>
      </c>
      <c r="D127" s="36">
        <f>70000+50000</f>
        <v>120000</v>
      </c>
    </row>
    <row r="128" spans="1:4" ht="57.75" customHeight="1">
      <c r="A128" s="31" t="s">
        <v>119</v>
      </c>
      <c r="B128" s="7" t="s">
        <v>120</v>
      </c>
      <c r="C128" s="7">
        <v>700</v>
      </c>
      <c r="D128" s="29">
        <f>12103.88</f>
        <v>12103.88</v>
      </c>
    </row>
    <row r="129" spans="1:4" ht="96" customHeight="1">
      <c r="A129" s="31" t="s">
        <v>137</v>
      </c>
      <c r="B129" s="7" t="s">
        <v>138</v>
      </c>
      <c r="C129" s="7">
        <v>200</v>
      </c>
      <c r="D129" s="29">
        <f>36000-3000</f>
        <v>33000</v>
      </c>
    </row>
    <row r="130" spans="1:4" ht="96.75" customHeight="1">
      <c r="A130" s="31" t="s">
        <v>133</v>
      </c>
      <c r="B130" s="7" t="s">
        <v>134</v>
      </c>
      <c r="C130" s="7">
        <v>200</v>
      </c>
      <c r="D130" s="29">
        <f>100000</f>
        <v>100000</v>
      </c>
    </row>
    <row r="131" spans="1:4" ht="117.75" customHeight="1">
      <c r="A131" s="31" t="s">
        <v>223</v>
      </c>
      <c r="B131" s="7" t="s">
        <v>220</v>
      </c>
      <c r="C131" s="7">
        <v>200</v>
      </c>
      <c r="D131" s="29">
        <f>59464.7</f>
        <v>59464.7</v>
      </c>
    </row>
    <row r="132" spans="1:4" ht="135" customHeight="1">
      <c r="A132" s="31" t="s">
        <v>253</v>
      </c>
      <c r="B132" s="7" t="s">
        <v>250</v>
      </c>
      <c r="C132" s="7">
        <v>200</v>
      </c>
      <c r="D132" s="36">
        <f>300000</f>
        <v>300000</v>
      </c>
    </row>
    <row r="133" spans="1:4" ht="114" customHeight="1">
      <c r="A133" s="31" t="s">
        <v>136</v>
      </c>
      <c r="B133" s="7" t="s">
        <v>135</v>
      </c>
      <c r="C133" s="7">
        <v>200</v>
      </c>
      <c r="D133" s="29">
        <f>3072</f>
        <v>3072</v>
      </c>
    </row>
    <row r="134" spans="1:4" ht="75">
      <c r="A134" s="31" t="s">
        <v>104</v>
      </c>
      <c r="B134" s="7" t="s">
        <v>77</v>
      </c>
      <c r="C134" s="7">
        <v>300</v>
      </c>
      <c r="D134" s="29">
        <f>208000</f>
        <v>208000</v>
      </c>
    </row>
    <row r="135" spans="1:4" ht="117" customHeight="1">
      <c r="A135" s="34" t="s">
        <v>222</v>
      </c>
      <c r="B135" s="7" t="s">
        <v>221</v>
      </c>
      <c r="C135" s="7">
        <v>300</v>
      </c>
      <c r="D135" s="29">
        <f>20000</f>
        <v>20000</v>
      </c>
    </row>
    <row r="136" spans="1:4" ht="117" customHeight="1">
      <c r="A136" s="34" t="s">
        <v>227</v>
      </c>
      <c r="B136" s="7" t="s">
        <v>226</v>
      </c>
      <c r="C136" s="7">
        <v>300</v>
      </c>
      <c r="D136" s="29">
        <f>20000</f>
        <v>20000</v>
      </c>
    </row>
    <row r="137" spans="1:4" ht="117" customHeight="1">
      <c r="A137" s="35" t="s">
        <v>237</v>
      </c>
      <c r="B137" s="7" t="s">
        <v>238</v>
      </c>
      <c r="C137" s="7">
        <v>300</v>
      </c>
      <c r="D137" s="29">
        <f>20000</f>
        <v>20000</v>
      </c>
    </row>
    <row r="138" spans="1:4" ht="98.25" customHeight="1">
      <c r="A138" s="32" t="s">
        <v>200</v>
      </c>
      <c r="B138" s="7" t="s">
        <v>201</v>
      </c>
      <c r="C138" s="7">
        <v>600</v>
      </c>
      <c r="D138" s="29">
        <f>5000000</f>
        <v>5000000</v>
      </c>
    </row>
    <row r="139" spans="1:4" ht="78" customHeight="1">
      <c r="A139" s="32" t="s">
        <v>202</v>
      </c>
      <c r="B139" s="7" t="s">
        <v>203</v>
      </c>
      <c r="C139" s="7">
        <v>600</v>
      </c>
      <c r="D139" s="29">
        <f>332417</f>
        <v>332417</v>
      </c>
    </row>
    <row r="140" spans="1:4" ht="78" customHeight="1">
      <c r="A140" s="32" t="s">
        <v>251</v>
      </c>
      <c r="B140" s="7" t="s">
        <v>252</v>
      </c>
      <c r="C140" s="7">
        <v>800</v>
      </c>
      <c r="D140" s="36">
        <f>31152</f>
        <v>31152</v>
      </c>
    </row>
    <row r="141" spans="1:4" s="4" customFormat="1" ht="18.75">
      <c r="A141" s="39" t="s">
        <v>160</v>
      </c>
      <c r="B141" s="39"/>
      <c r="C141" s="39"/>
      <c r="D141" s="24">
        <f>D22+D40+D94+D104+D108+D118+D124</f>
        <v>156299769.85000002</v>
      </c>
    </row>
    <row r="142" spans="4:7" ht="18.75">
      <c r="D142" s="21" t="s">
        <v>247</v>
      </c>
      <c r="F142" s="14"/>
      <c r="G142" s="14"/>
    </row>
    <row r="143" spans="2:7" s="8" customFormat="1" ht="18.75">
      <c r="B143" s="11"/>
      <c r="C143" s="12"/>
      <c r="D143" s="13"/>
      <c r="F143" s="14"/>
      <c r="G143" s="14"/>
    </row>
    <row r="146" spans="1:4" s="8" customFormat="1" ht="18.75">
      <c r="A146" s="15"/>
      <c r="B146" s="11"/>
      <c r="C146" s="12"/>
      <c r="D146" s="14"/>
    </row>
    <row r="147" spans="1:4" s="8" customFormat="1" ht="18.75">
      <c r="A147" s="16"/>
      <c r="B147" s="11"/>
      <c r="C147" s="12"/>
      <c r="D147" s="14"/>
    </row>
    <row r="148" ht="18.75">
      <c r="D148" s="14"/>
    </row>
  </sheetData>
  <sheetProtection/>
  <mergeCells count="17">
    <mergeCell ref="A141:C141"/>
    <mergeCell ref="A18:D18"/>
    <mergeCell ref="A10:D10"/>
    <mergeCell ref="A11:D11"/>
    <mergeCell ref="A12:D12"/>
    <mergeCell ref="A13:D13"/>
    <mergeCell ref="A14:D14"/>
    <mergeCell ref="A15:D15"/>
    <mergeCell ref="A16:D16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2019-09-16T05:26:30Z</dcterms:modified>
  <cp:category/>
  <cp:version/>
  <cp:contentType/>
  <cp:contentStatus/>
</cp:coreProperties>
</file>