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4" sheetId="1" r:id="rId1"/>
  </sheets>
  <calcPr calcId="152511"/>
</workbook>
</file>

<file path=xl/calcChain.xml><?xml version="1.0" encoding="utf-8"?>
<calcChain xmlns="http://schemas.openxmlformats.org/spreadsheetml/2006/main">
  <c r="D164" i="1" l="1"/>
  <c r="D129" i="1" l="1"/>
  <c r="D127" i="1"/>
  <c r="D21" i="1" l="1"/>
  <c r="D27" i="1"/>
  <c r="D347" i="1" l="1"/>
  <c r="D334" i="1"/>
  <c r="D279" i="1"/>
  <c r="D278" i="1"/>
  <c r="D267" i="1"/>
  <c r="D249" i="1"/>
  <c r="D219" i="1"/>
  <c r="D198" i="1"/>
  <c r="D180" i="1"/>
  <c r="D179" i="1" s="1"/>
  <c r="D178" i="1" s="1"/>
  <c r="D170" i="1"/>
  <c r="D166" i="1"/>
  <c r="D161" i="1"/>
  <c r="D159" i="1"/>
  <c r="D158" i="1"/>
  <c r="D151" i="1"/>
  <c r="D92" i="1"/>
  <c r="D91" i="1"/>
  <c r="D70" i="1"/>
  <c r="D69" i="1"/>
  <c r="D58" i="1"/>
  <c r="D63" i="1" l="1"/>
  <c r="D57" i="1"/>
  <c r="D55" i="1" l="1"/>
  <c r="D54" i="1"/>
  <c r="D53" i="1" l="1"/>
  <c r="D52" i="1"/>
  <c r="D47" i="1"/>
  <c r="D46" i="1" s="1"/>
  <c r="D45" i="1"/>
  <c r="D44" i="1"/>
  <c r="D40" i="1"/>
  <c r="D39" i="1"/>
  <c r="D37" i="1"/>
  <c r="D36" i="1"/>
  <c r="D35" i="1"/>
  <c r="D32" i="1"/>
  <c r="D19" i="1"/>
  <c r="D103" i="1" l="1"/>
  <c r="D182" i="1" l="1"/>
  <c r="D75" i="1" l="1"/>
  <c r="D74" i="1"/>
  <c r="D263" i="1" l="1"/>
  <c r="D259" i="1"/>
  <c r="D128" i="1" l="1"/>
  <c r="D34" i="1" l="1"/>
  <c r="D349" i="1" l="1"/>
  <c r="D333" i="1" l="1"/>
  <c r="D265" i="1"/>
  <c r="D258" i="1"/>
  <c r="D154" i="1"/>
  <c r="D77" i="1"/>
  <c r="D30" i="1" l="1"/>
  <c r="D29" i="1"/>
  <c r="D28" i="1" l="1"/>
  <c r="D24" i="1"/>
  <c r="D23" i="1"/>
  <c r="D329" i="1" l="1"/>
  <c r="D328" i="1"/>
  <c r="D327" i="1"/>
  <c r="D326" i="1"/>
  <c r="D323" i="1"/>
  <c r="D116" i="1" l="1"/>
  <c r="D136" i="1"/>
  <c r="D134" i="1"/>
  <c r="D312" i="1"/>
  <c r="D250" i="1"/>
  <c r="D125" i="1" l="1"/>
  <c r="D124" i="1" s="1"/>
  <c r="D104" i="1" l="1"/>
  <c r="D321" i="1"/>
  <c r="D320" i="1" l="1"/>
  <c r="D315" i="1" s="1"/>
  <c r="D195" i="1"/>
  <c r="D160" i="1"/>
  <c r="D280" i="1"/>
  <c r="D106" i="1" l="1"/>
  <c r="D102" i="1" s="1"/>
  <c r="D254" i="1" l="1"/>
  <c r="D130" i="1"/>
  <c r="D122" i="1"/>
  <c r="D251" i="1" l="1"/>
  <c r="D285" i="1"/>
  <c r="D95" i="1"/>
  <c r="D94" i="1" s="1"/>
  <c r="D83" i="1" l="1"/>
  <c r="D82" i="1"/>
  <c r="D313" i="1"/>
  <c r="D143" i="1" l="1"/>
  <c r="D277" i="1"/>
  <c r="D269" i="1"/>
  <c r="D264" i="1" l="1"/>
  <c r="D292" i="1" l="1"/>
  <c r="D288" i="1"/>
  <c r="D234" i="1"/>
  <c r="D68" i="1"/>
  <c r="D56" i="1" l="1"/>
  <c r="D33" i="1" s="1"/>
  <c r="D215" i="1" l="1"/>
  <c r="D18" i="1" l="1"/>
  <c r="D252" i="1" l="1"/>
  <c r="D184" i="1"/>
  <c r="D181" i="1" s="1"/>
  <c r="D157" i="1"/>
  <c r="D156" i="1" s="1"/>
  <c r="D108" i="1" l="1"/>
  <c r="D332" i="1" l="1"/>
  <c r="D310" i="1"/>
  <c r="D306" i="1"/>
  <c r="D303" i="1"/>
  <c r="D299" i="1"/>
  <c r="D297" i="1"/>
  <c r="D291" i="1"/>
  <c r="D287" i="1"/>
  <c r="D283" i="1"/>
  <c r="D273" i="1"/>
  <c r="D257" i="1"/>
  <c r="D248" i="1"/>
  <c r="D246" i="1"/>
  <c r="D242" i="1"/>
  <c r="D237" i="1"/>
  <c r="D230" i="1"/>
  <c r="D225" i="1"/>
  <c r="D221" i="1"/>
  <c r="D214" i="1"/>
  <c r="D209" i="1"/>
  <c r="D202" i="1"/>
  <c r="D194" i="1"/>
  <c r="D188" i="1"/>
  <c r="D175" i="1"/>
  <c r="D172" i="1"/>
  <c r="D168" i="1"/>
  <c r="D165" i="1"/>
  <c r="D153" i="1"/>
  <c r="D149" i="1"/>
  <c r="D146" i="1"/>
  <c r="D144" i="1"/>
  <c r="D140" i="1"/>
  <c r="D135" i="1"/>
  <c r="D133" i="1"/>
  <c r="D118" i="1"/>
  <c r="D115" i="1"/>
  <c r="D107" i="1"/>
  <c r="D98" i="1"/>
  <c r="D90" i="1"/>
  <c r="D86" i="1"/>
  <c r="D79" i="1"/>
  <c r="D76" i="1"/>
  <c r="D72" i="1"/>
  <c r="D64" i="1"/>
  <c r="D62" i="1"/>
  <c r="D121" i="1" l="1"/>
  <c r="D229" i="1"/>
  <c r="D228" i="1" s="1"/>
  <c r="D148" i="1"/>
  <c r="D117" i="1"/>
  <c r="D101" i="1"/>
  <c r="D114" i="1"/>
  <c r="D224" i="1"/>
  <c r="D220" i="1"/>
  <c r="D314" i="1"/>
  <c r="D89" i="1"/>
  <c r="D85" i="1"/>
  <c r="D193" i="1"/>
  <c r="D305" i="1"/>
  <c r="D302" i="1"/>
  <c r="D171" i="1"/>
  <c r="D167" i="1"/>
  <c r="D201" i="1"/>
  <c r="D187" i="1"/>
  <c r="D78" i="1"/>
  <c r="D208" i="1"/>
  <c r="D282" i="1"/>
  <c r="D276" i="1"/>
  <c r="D97" i="1"/>
  <c r="D152" i="1"/>
  <c r="D174" i="1"/>
  <c r="D241" i="1"/>
  <c r="D309" i="1"/>
  <c r="D61" i="1"/>
  <c r="D71" i="1"/>
  <c r="D296" i="1"/>
  <c r="D268" i="1"/>
  <c r="D245" i="1"/>
  <c r="D233" i="1"/>
  <c r="D155" i="1"/>
  <c r="D139" i="1"/>
  <c r="D17" i="1"/>
  <c r="D16" i="1" l="1"/>
  <c r="D301" i="1"/>
  <c r="D186" i="1"/>
  <c r="D207" i="1"/>
  <c r="D295" i="1"/>
  <c r="D281" i="1"/>
  <c r="D232" i="1"/>
  <c r="D244" i="1"/>
  <c r="D308" i="1"/>
  <c r="D100" i="1"/>
  <c r="D352" i="1" l="1"/>
</calcChain>
</file>

<file path=xl/sharedStrings.xml><?xml version="1.0" encoding="utf-8"?>
<sst xmlns="http://schemas.openxmlformats.org/spreadsheetml/2006/main" count="686" uniqueCount="635">
  <si>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</si>
  <si>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</si>
  <si>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</si>
  <si>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</si>
  <si>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</si>
  <si>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</si>
  <si>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</si>
  <si>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</si>
  <si>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</si>
  <si>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</si>
  <si>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</si>
  <si>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</si>
  <si>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</si>
  <si>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</si>
  <si>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</si>
  <si>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</si>
  <si>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</si>
  <si>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</si>
  <si>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</si>
  <si>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</si>
  <si>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</si>
  <si>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</si>
  <si>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</si>
  <si>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</si>
  <si>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</si>
  <si>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</si>
  <si>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</si>
  <si>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</si>
  <si>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</si>
  <si>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</si>
  <si>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</si>
  <si>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</si>
  <si>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</si>
  <si>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</si>
  <si>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</si>
  <si>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</si>
  <si>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</si>
  <si>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</si>
  <si>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</si>
  <si>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</si>
  <si>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</si>
  <si>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</si>
  <si>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</si>
  <si>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</si>
  <si>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</si>
  <si>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</si>
  <si>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</si>
  <si>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</si>
  <si>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</si>
  <si>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</si>
  <si>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</si>
  <si>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</si>
  <si>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</si>
  <si>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</si>
  <si>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</si>
  <si>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</si>
  <si>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</si>
  <si>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</si>
  <si>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</si>
  <si>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</si>
  <si>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</si>
  <si>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</si>
  <si>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</si>
  <si>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</si>
  <si>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</si>
  <si>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</si>
  <si>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</si>
  <si>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</si>
  <si>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</si>
  <si>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</si>
  <si>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</si>
  <si>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</si>
  <si>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</si>
  <si>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</si>
  <si>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</si>
  <si>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</si>
  <si>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</si>
  <si>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</si>
  <si>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</si>
  <si>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</si>
  <si>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</si>
  <si>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</si>
  <si>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</si>
  <si>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</si>
  <si>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</si>
  <si>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</si>
  <si>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</si>
  <si>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</si>
  <si>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</si>
  <si>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</si>
  <si>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</si>
  <si>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</si>
  <si>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</si>
  <si>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</si>
  <si>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</si>
  <si>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</si>
  <si>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</si>
  <si>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</si>
  <si>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</si>
  <si>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</si>
  <si>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</si>
  <si>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</si>
  <si>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</si>
  <si>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</si>
  <si>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</si>
  <si>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</si>
  <si>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</si>
  <si>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</si>
  <si>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</si>
  <si>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</si>
  <si>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</si>
  <si>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</si>
  <si>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</si>
  <si>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</si>
  <si>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</si>
  <si>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</si>
  <si>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</si>
  <si>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</si>
  <si>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</si>
  <si>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</si>
  <si>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</si>
  <si>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</si>
  <si>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</si>
  <si>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</si>
  <si>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</si>
  <si>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</si>
  <si>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</si>
  <si>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</si>
  <si>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</si>
  <si>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</si>
  <si>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</si>
  <si>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</si>
  <si>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</si>
  <si>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</si>
  <si>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</si>
  <si>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</si>
  <si>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</si>
  <si>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</si>
  <si>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</si>
  <si>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</si>
  <si>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</si>
  <si>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</si>
  <si>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</si>
  <si>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</si>
  <si>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</si>
  <si>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</si>
  <si>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</si>
  <si>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</si>
  <si>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</si>
  <si>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</si>
  <si>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</si>
  <si>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</si>
  <si>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</si>
  <si>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</si>
  <si>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</si>
  <si>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</si>
  <si>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</si>
  <si>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</si>
  <si>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</si>
  <si>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</si>
  <si>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</si>
  <si>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</si>
  <si>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</si>
  <si>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</si>
  <si>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</si>
  <si>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</si>
  <si>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</si>
  <si>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</si>
  <si>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</si>
  <si>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</si>
  <si>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</si>
  <si>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</si>
  <si>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</si>
  <si>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</si>
  <si>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</si>
  <si>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</si>
  <si>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</si>
  <si>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</si>
  <si>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</si>
  <si>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</si>
  <si>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</si>
  <si>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</si>
  <si>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</si>
  <si>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</si>
  <si>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</si>
  <si>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</si>
  <si>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</si>
  <si>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</si>
  <si>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</si>
  <si>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</si>
  <si>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</si>
  <si>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</si>
  <si>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</si>
  <si>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</si>
  <si>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</si>
  <si>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</si>
  <si>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</si>
  <si>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</si>
  <si>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</si>
  <si>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</si>
  <si>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</si>
  <si>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</si>
  <si>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</si>
  <si>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</si>
  <si>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</si>
  <si>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</si>
  <si>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</si>
  <si>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</si>
  <si>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</si>
  <si>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</si>
  <si>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</si>
  <si>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</si>
  <si>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</si>
  <si>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</si>
  <si>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</si>
  <si>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</si>
  <si>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</si>
  <si>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</si>
  <si>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</si>
  <si>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</si>
  <si>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</si>
  <si>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</si>
  <si>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</si>
  <si>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</si>
  <si>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</si>
  <si>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</si>
  <si>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</si>
  <si>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</si>
  <si>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</si>
  <si>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</si>
  <si>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</si>
  <si>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</si>
  <si>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</si>
  <si>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</si>
  <si>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</si>
  <si>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</si>
  <si>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</si>
  <si>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</si>
  <si>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</si>
  <si>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</si>
  <si>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</si>
  <si>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</si>
  <si>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</si>
  <si>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</si>
  <si>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</si>
  <si>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</si>
  <si>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</si>
  <si>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</si>
  <si>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</si>
  <si>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</si>
  <si>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</si>
  <si>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</si>
  <si>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</si>
  <si>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</si>
  <si>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</si>
  <si>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</si>
  <si>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</si>
  <si>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</si>
  <si>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</si>
  <si>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</si>
  <si>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</si>
  <si>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</si>
  <si>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</si>
  <si>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</si>
  <si>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</si>
  <si>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</si>
  <si>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</si>
  <si>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</si>
  <si>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</si>
  <si>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</si>
  <si>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</si>
  <si>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</si>
  <si>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</si>
  <si>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</si>
  <si>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</si>
  <si>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</si>
  <si>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</si>
  <si>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</si>
  <si>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</si>
  <si>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</si>
  <si>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</si>
  <si>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</si>
  <si>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</si>
  <si>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</si>
  <si>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</si>
  <si>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</si>
  <si>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</si>
  <si>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</si>
  <si>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</si>
  <si>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</si>
  <si>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</si>
  <si>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</si>
  <si>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</si>
  <si>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</si>
  <si>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</si>
  <si>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</si>
  <si>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</si>
  <si>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</si>
  <si>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</si>
  <si>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</si>
  <si>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</si>
  <si>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</si>
  <si>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</si>
  <si>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</si>
  <si>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</si>
  <si>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</si>
  <si>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</si>
  <si>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</si>
  <si>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</si>
  <si>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</si>
  <si>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</si>
  <si>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</si>
  <si>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</si>
  <si>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</si>
  <si>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</si>
  <si>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</si>
  <si>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</si>
  <si>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</si>
  <si>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</si>
  <si>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</si>
  <si>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</si>
  <si>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</si>
  <si>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</si>
  <si>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</si>
  <si>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</si>
  <si>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</si>
  <si>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</si>
  <si>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</si>
  <si>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</si>
  <si>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</si>
  <si>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</si>
  <si>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</si>
  <si>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</si>
  <si>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</si>
  <si>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</si>
  <si>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</si>
  <si>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</si>
  <si>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</si>
  <si>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</si>
  <si>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</si>
  <si>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</si>
  <si>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</si>
  <si>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</si>
  <si>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</si>
  <si>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</si>
  <si>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</si>
  <si>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</si>
  <si>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</si>
  <si>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</si>
  <si>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</si>
  <si>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</si>
  <si>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</si>
  <si>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</si>
  <si>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</si>
  <si>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</si>
  <si>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</si>
  <si>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</si>
  <si>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</si>
  <si>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</si>
  <si>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</si>
  <si>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</si>
  <si>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</si>
  <si>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</si>
  <si>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</si>
  <si>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</si>
  <si>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</si>
  <si>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</si>
  <si>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</si>
  <si>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</si>
  <si>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</si>
  <si>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</si>
  <si>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</si>
  <si>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</si>
  <si>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</si>
  <si>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</si>
  <si>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</si>
  <si>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</si>
  <si>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</si>
  <si>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</si>
  <si>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</si>
  <si>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</si>
  <si>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</si>
  <si>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</si>
  <si>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</si>
  <si>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</si>
  <si>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</si>
  <si>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</si>
  <si>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</si>
  <si>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</si>
  <si>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</si>
  <si>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</si>
  <si>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</si>
  <si>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</si>
  <si>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</si>
  <si>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</si>
  <si>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</si>
  <si>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</si>
  <si>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</si>
  <si>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</si>
  <si>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</si>
  <si>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</si>
  <si>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</si>
  <si>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</si>
  <si>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</si>
  <si>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</si>
  <si>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</si>
  <si>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</si>
  <si>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</si>
  <si>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</si>
  <si>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</si>
  <si>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</si>
  <si>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</si>
  <si>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</si>
  <si>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</si>
  <si>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</si>
  <si>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</si>
  <si>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</si>
  <si>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</si>
  <si>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</si>
  <si>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</si>
  <si>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</si>
  <si>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</si>
  <si>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</si>
  <si>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</si>
  <si>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</si>
  <si>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</si>
  <si>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</si>
  <si>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</si>
  <si>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</si>
  <si>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</si>
  <si>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</si>
  <si>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</si>
  <si>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</si>
  <si>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</si>
  <si>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</si>
  <si>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</si>
  <si>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</si>
  <si>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</si>
  <si>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</si>
  <si>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</si>
  <si>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</si>
  <si>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</si>
  <si>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</si>
  <si>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</si>
  <si>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</si>
  <si>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</si>
  <si>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</si>
  <si>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</si>
  <si>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</si>
  <si>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</si>
  <si>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</si>
  <si>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</si>
  <si>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</si>
  <si>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</si>
  <si>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</si>
  <si>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</si>
  <si>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</si>
  <si>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</si>
  <si>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</si>
  <si>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</si>
  <si>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</si>
  <si>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</si>
  <si>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</si>
  <si>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</si>
  <si>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</si>
  <si>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</si>
  <si>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</si>
  <si>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</si>
  <si>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</si>
  <si>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</si>
  <si>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</si>
  <si>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</si>
  <si>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2024 год</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</si>
  <si>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</si>
  <si>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</si>
  <si>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</si>
  <si>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</si>
  <si>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</si>
  <si>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</si>
  <si>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</si>
  <si>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</si>
  <si>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</si>
  <si>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</si>
  <si>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</si>
  <si>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</si>
  <si>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</si>
  <si>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</si>
  <si>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</si>
  <si>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</si>
  <si>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</si>
  <si>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</si>
  <si>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</si>
  <si>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</si>
  <si>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</si>
  <si>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</si>
  <si>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</si>
  <si>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</si>
  <si>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</si>
  <si>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</si>
  <si>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</si>
  <si>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</si>
  <si>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</si>
  <si>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</si>
  <si>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</si>
  <si>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</si>
  <si>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</si>
  <si>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</si>
  <si>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</si>
  <si>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</si>
  <si>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</si>
  <si>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</si>
  <si>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</si>
  <si>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</si>
  <si>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</si>
  <si>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</si>
  <si>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</si>
  <si>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</si>
  <si>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</si>
  <si>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</si>
  <si>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</si>
  <si>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</si>
  <si>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</si>
  <si>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</si>
  <si>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</si>
  <si>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</si>
  <si>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</si>
  <si>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</si>
  <si>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</si>
  <si>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</si>
  <si>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</si>
  <si>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</si>
  <si>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</si>
  <si>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</si>
  <si>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</si>
  <si>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</si>
  <si>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</si>
  <si>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</si>
  <si>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</si>
  <si>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</si>
  <si>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</si>
  <si>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</si>
  <si>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</si>
  <si>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</si>
  <si>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</si>
  <si>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</si>
  <si>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</si>
  <si>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</si>
  <si>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</si>
  <si>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</si>
  <si>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</si>
  <si>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</si>
  <si>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</si>
  <si>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</si>
  <si>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</si>
  <si>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</si>
  <si>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</si>
  <si>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2024 год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</si>
  <si>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</si>
  <si>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</si>
  <si>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</si>
  <si>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</si>
  <si>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</si>
  <si>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</si>
  <si>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</si>
  <si>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</si>
  <si>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</si>
  <si>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</si>
  <si>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</si>
  <si>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</si>
  <si>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</si>
  <si>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</si>
  <si>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</si>
  <si>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</si>
  <si>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31 9 00 66130</t>
  </si>
  <si>
    <t>Организация мероприятий для семей мобилизованных (Закупка товаров, работ и услуг для обеспечения государственных (муниципальных) нужд)</t>
  </si>
  <si>
    <t>31 9 00 26210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</si>
  <si>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</si>
  <si>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01 9 00 00000</t>
  </si>
  <si>
    <t>Основное мероприятие "Развитие кадрового потенциала системы образования"</t>
  </si>
  <si>
    <t>01 9 01 00000</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</si>
  <si>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</si>
  <si>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9 01 S3110</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</si>
  <si>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</si>
  <si>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</si>
  <si>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30 9 00 24070</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</si>
  <si>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</si>
  <si>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30 9 00 25340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</si>
  <si>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</si>
  <si>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31 9 00 25080</t>
  </si>
  <si>
    <t xml:space="preserve">Исполнение судебных актов, оплата издержек по ним (Иные бюджетные ассигнования) </t>
  </si>
  <si>
    <t>31 9 00 90040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</si>
  <si>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</si>
  <si>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</si>
  <si>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</si>
  <si>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04 10180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</si>
  <si>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</si>
  <si>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</si>
  <si>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</si>
  <si>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</si>
  <si>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</si>
  <si>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</si>
  <si>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</si>
  <si>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</si>
  <si>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</si>
  <si>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</si>
  <si>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</si>
  <si>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</si>
  <si>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</si>
  <si>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</si>
  <si>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</si>
  <si>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</si>
  <si>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</si>
  <si>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</si>
  <si>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Приложение № 4</t>
  </si>
  <si>
    <t>к решению Совета Южского</t>
  </si>
  <si>
    <t>муниципального района</t>
  </si>
  <si>
    <t xml:space="preserve">"О бюджете Южского </t>
  </si>
  <si>
    <t>на 2024 год и на плановый</t>
  </si>
  <si>
    <t>период 2025 и 2026 годов"</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</si>
  <si>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</si>
  <si>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</si>
  <si>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</si>
  <si>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</si>
  <si>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</si>
  <si>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Основное мероприятие "Муниципальный проект "Образование""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</si>
  <si>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</si>
  <si>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</si>
  <si>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00000</t>
  </si>
  <si>
    <t>01 2 EВ 51792</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</si>
  <si>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</si>
  <si>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</si>
  <si>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</si>
  <si>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</si>
  <si>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</si>
  <si>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от 22.12.2023 № 115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</si>
</sst>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 fontId="2" fillId="0" borderId="0" xfId="0" applyNumberFormat="1" applyFont="1" applyFill="1"/>
    <xf numFmtId="0" fontId="2" fillId="2" borderId="1" xfId="0" applyFont="1" applyFill="1" applyBorder="1" applyAlignment="1">
      <alignment horizont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0" fontId="2" fillId="2" borderId="0" xfId="0" applyFont="1" applyFill="1"/>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70"/>
  <sheetViews>
    <sheetView tabSelected="1" zoomScale="90" zoomScaleNormal="90" workbookViewId="0">
      <selection activeCell="B4" sqref="B4:D4"/>
    </sheetView>
  </sheetViews>
  <sheetFormatPr defaultRowHeight="18.75" x14ac:dyDescent="0.3"/>
  <cols>
    <col min="1" max="1" width="88.85546875" style="1" customWidth="1"/>
    <col min="2" max="2" width="18.7109375" style="1" customWidth="1"/>
    <col min="3" max="3" width="8.85546875" style="2" customWidth="1"/>
    <col min="4" max="4" width="21.85546875" style="1" customWidth="1"/>
    <col min="5" max="5" width="18.85546875" style="1" customWidth="1"/>
    <col min="6" max="16384" width="9.140625" style="1"/>
  </cols>
  <sheetData>
    <row r="1" spans="1:4" x14ac:dyDescent="0.3">
      <c r="B1" s="38" t="s">
        <v>613</v>
      </c>
      <c r="C1" s="38"/>
      <c r="D1" s="38"/>
    </row>
    <row r="2" spans="1:4" x14ac:dyDescent="0.3">
      <c r="B2" s="38" t="s">
        <v>614</v>
      </c>
      <c r="C2" s="38"/>
      <c r="D2" s="38"/>
    </row>
    <row r="3" spans="1:4" x14ac:dyDescent="0.3">
      <c r="B3" s="38" t="s">
        <v>615</v>
      </c>
      <c r="C3" s="38"/>
      <c r="D3" s="38"/>
    </row>
    <row r="4" spans="1:4" x14ac:dyDescent="0.3">
      <c r="B4" s="38" t="s">
        <v>616</v>
      </c>
      <c r="C4" s="38"/>
      <c r="D4" s="38"/>
    </row>
    <row r="5" spans="1:4" x14ac:dyDescent="0.3">
      <c r="B5" s="38" t="s">
        <v>615</v>
      </c>
      <c r="C5" s="38"/>
      <c r="D5" s="38"/>
    </row>
    <row r="6" spans="1:4" x14ac:dyDescent="0.3">
      <c r="B6" s="38" t="s">
        <v>617</v>
      </c>
      <c r="C6" s="38"/>
      <c r="D6" s="38"/>
    </row>
    <row r="7" spans="1:4" x14ac:dyDescent="0.3">
      <c r="B7" s="38" t="s">
        <v>618</v>
      </c>
      <c r="C7" s="38"/>
      <c r="D7" s="38"/>
    </row>
    <row r="8" spans="1:4" x14ac:dyDescent="0.3">
      <c r="B8" s="45" t="s">
        <v>634</v>
      </c>
      <c r="C8" s="38"/>
      <c r="D8" s="38"/>
    </row>
    <row r="11" spans="1:4" ht="102" customHeight="1" x14ac:dyDescent="0.3">
      <c r="A11" s="41" t="s">
        <v>556</v>
      </c>
      <c r="B11" s="41"/>
      <c r="C11" s="41"/>
      <c r="D11" s="41"/>
    </row>
    <row r="12" spans="1:4" ht="10.5" customHeight="1" x14ac:dyDescent="0.3">
      <c r="A12" s="42"/>
      <c r="B12" s="42"/>
      <c r="C12" s="42"/>
      <c r="D12" s="34"/>
    </row>
    <row r="13" spans="1:4" ht="18.75" customHeight="1" x14ac:dyDescent="0.3">
      <c r="A13" s="43" t="s">
        <v>131</v>
      </c>
      <c r="B13" s="43" t="s">
        <v>132</v>
      </c>
      <c r="C13" s="43" t="s">
        <v>133</v>
      </c>
      <c r="D13" s="39" t="s">
        <v>472</v>
      </c>
    </row>
    <row r="14" spans="1:4" ht="83.25" customHeight="1" x14ac:dyDescent="0.3">
      <c r="A14" s="44"/>
      <c r="B14" s="44"/>
      <c r="C14" s="44"/>
      <c r="D14" s="40"/>
    </row>
    <row r="15" spans="1:4" x14ac:dyDescent="0.3">
      <c r="A15" s="15">
        <v>1</v>
      </c>
      <c r="B15" s="15">
        <v>2</v>
      </c>
      <c r="C15" s="15">
        <v>3</v>
      </c>
      <c r="D15" s="31">
        <v>4</v>
      </c>
    </row>
    <row r="16" spans="1:4" s="4" customFormat="1" ht="56.25" customHeight="1" x14ac:dyDescent="0.3">
      <c r="A16" s="16" t="s">
        <v>171</v>
      </c>
      <c r="B16" s="17" t="s">
        <v>0</v>
      </c>
      <c r="C16" s="17"/>
      <c r="D16" s="13">
        <f>D17+D33+D61+D71+D78+D85+D89+D97+D94</f>
        <v>309473469.59000003</v>
      </c>
    </row>
    <row r="17" spans="1:5" s="4" customFormat="1" ht="84" customHeight="1" x14ac:dyDescent="0.3">
      <c r="A17" s="16" t="s">
        <v>172</v>
      </c>
      <c r="B17" s="17" t="s">
        <v>1</v>
      </c>
      <c r="C17" s="17"/>
      <c r="D17" s="13">
        <f t="shared" ref="D17" si="0">D18+D24+D28</f>
        <v>100157724.72</v>
      </c>
    </row>
    <row r="18" spans="1:5" s="3" customFormat="1" ht="37.5" customHeight="1" x14ac:dyDescent="0.3">
      <c r="A18" s="18" t="s">
        <v>173</v>
      </c>
      <c r="B18" s="19" t="s">
        <v>2</v>
      </c>
      <c r="C18" s="19"/>
      <c r="D18" s="14">
        <f>SUM(D19:D23)</f>
        <v>86019601.359999999</v>
      </c>
    </row>
    <row r="19" spans="1:5" ht="133.5" customHeight="1" x14ac:dyDescent="0.3">
      <c r="A19" s="20" t="s">
        <v>174</v>
      </c>
      <c r="B19" s="12" t="s">
        <v>3</v>
      </c>
      <c r="C19" s="12">
        <v>100</v>
      </c>
      <c r="D19" s="5">
        <f>1268824.55+234360</f>
        <v>1503184.55</v>
      </c>
    </row>
    <row r="20" spans="1:5" ht="102.75" customHeight="1" x14ac:dyDescent="0.3">
      <c r="A20" s="11" t="s">
        <v>175</v>
      </c>
      <c r="B20" s="12" t="s">
        <v>3</v>
      </c>
      <c r="C20" s="12">
        <v>200</v>
      </c>
      <c r="D20" s="5">
        <v>366700</v>
      </c>
    </row>
    <row r="21" spans="1:5" ht="120.75" customHeight="1" x14ac:dyDescent="0.3">
      <c r="A21" s="20" t="s">
        <v>176</v>
      </c>
      <c r="B21" s="12" t="s">
        <v>3</v>
      </c>
      <c r="C21" s="12">
        <v>600</v>
      </c>
      <c r="D21" s="5">
        <f>33759565.39+2819350.8+615140.92-0.3</f>
        <v>37194056.810000002</v>
      </c>
    </row>
    <row r="22" spans="1:5" ht="94.5" customHeight="1" x14ac:dyDescent="0.3">
      <c r="A22" s="20" t="s">
        <v>405</v>
      </c>
      <c r="B22" s="12" t="s">
        <v>4</v>
      </c>
      <c r="C22" s="12">
        <v>600</v>
      </c>
      <c r="D22" s="5">
        <v>30000</v>
      </c>
    </row>
    <row r="23" spans="1:5" ht="169.5" customHeight="1" x14ac:dyDescent="0.3">
      <c r="A23" s="20" t="s">
        <v>428</v>
      </c>
      <c r="B23" s="12" t="s">
        <v>388</v>
      </c>
      <c r="C23" s="12">
        <v>600</v>
      </c>
      <c r="D23" s="5">
        <f>41965417+4960243</f>
        <v>46925660</v>
      </c>
    </row>
    <row r="24" spans="1:5" s="3" customFormat="1" ht="49.5" customHeight="1" x14ac:dyDescent="0.3">
      <c r="A24" s="18" t="s">
        <v>5</v>
      </c>
      <c r="B24" s="19" t="s">
        <v>161</v>
      </c>
      <c r="C24" s="19"/>
      <c r="D24" s="14">
        <f>SUM(D25:D27)</f>
        <v>12317556.629999999</v>
      </c>
    </row>
    <row r="25" spans="1:5" ht="93" customHeight="1" x14ac:dyDescent="0.3">
      <c r="A25" s="20" t="s">
        <v>143</v>
      </c>
      <c r="B25" s="12" t="s">
        <v>6</v>
      </c>
      <c r="C25" s="12">
        <v>600</v>
      </c>
      <c r="D25" s="5">
        <v>490200</v>
      </c>
    </row>
    <row r="26" spans="1:5" ht="93" customHeight="1" x14ac:dyDescent="0.3">
      <c r="A26" s="20" t="s">
        <v>474</v>
      </c>
      <c r="B26" s="12" t="s">
        <v>473</v>
      </c>
      <c r="C26" s="12">
        <v>600</v>
      </c>
      <c r="D26" s="5">
        <v>545400</v>
      </c>
    </row>
    <row r="27" spans="1:5" ht="125.25" customHeight="1" x14ac:dyDescent="0.3">
      <c r="A27" s="20" t="s">
        <v>600</v>
      </c>
      <c r="B27" s="12" t="s">
        <v>599</v>
      </c>
      <c r="C27" s="12">
        <v>600</v>
      </c>
      <c r="D27" s="5">
        <f>8000000+80808.08+2717858.8+27453.12+455836.33+0.3</f>
        <v>11281956.629999999</v>
      </c>
    </row>
    <row r="28" spans="1:5" s="3" customFormat="1" ht="68.25" customHeight="1" x14ac:dyDescent="0.3">
      <c r="A28" s="18" t="s">
        <v>177</v>
      </c>
      <c r="B28" s="19" t="s">
        <v>7</v>
      </c>
      <c r="C28" s="19"/>
      <c r="D28" s="14">
        <f>SUM(D29:D32)</f>
        <v>1820566.73</v>
      </c>
    </row>
    <row r="29" spans="1:5" ht="171.75" customHeight="1" x14ac:dyDescent="0.3">
      <c r="A29" s="20" t="s">
        <v>162</v>
      </c>
      <c r="B29" s="12" t="s">
        <v>8</v>
      </c>
      <c r="C29" s="12">
        <v>600</v>
      </c>
      <c r="D29" s="5">
        <f>439140-19871</f>
        <v>419269</v>
      </c>
    </row>
    <row r="30" spans="1:5" ht="114" customHeight="1" x14ac:dyDescent="0.3">
      <c r="A30" s="20" t="s">
        <v>178</v>
      </c>
      <c r="B30" s="12" t="s">
        <v>9</v>
      </c>
      <c r="C30" s="12">
        <v>300</v>
      </c>
      <c r="D30" s="5">
        <f>752210.16+203231.97</f>
        <v>955442.13</v>
      </c>
    </row>
    <row r="31" spans="1:5" ht="396" customHeight="1" x14ac:dyDescent="0.3">
      <c r="A31" s="11" t="s">
        <v>612</v>
      </c>
      <c r="B31" s="12" t="s">
        <v>554</v>
      </c>
      <c r="C31" s="12">
        <v>200</v>
      </c>
      <c r="D31" s="5">
        <v>12000</v>
      </c>
      <c r="E31" s="30"/>
    </row>
    <row r="32" spans="1:5" ht="409.5" customHeight="1" x14ac:dyDescent="0.3">
      <c r="A32" s="11" t="s">
        <v>555</v>
      </c>
      <c r="B32" s="12" t="s">
        <v>554</v>
      </c>
      <c r="C32" s="12">
        <v>600</v>
      </c>
      <c r="D32" s="5">
        <f>498285.6-64430</f>
        <v>433855.6</v>
      </c>
    </row>
    <row r="33" spans="1:5" s="4" customFormat="1" ht="78.75" customHeight="1" x14ac:dyDescent="0.3">
      <c r="A33" s="16" t="s">
        <v>179</v>
      </c>
      <c r="B33" s="17" t="s">
        <v>10</v>
      </c>
      <c r="C33" s="17"/>
      <c r="D33" s="13">
        <f>D34+D46+D56+D58</f>
        <v>174771708.46000001</v>
      </c>
    </row>
    <row r="34" spans="1:5" s="3" customFormat="1" ht="48" customHeight="1" x14ac:dyDescent="0.3">
      <c r="A34" s="18" t="s">
        <v>180</v>
      </c>
      <c r="B34" s="19" t="s">
        <v>11</v>
      </c>
      <c r="C34" s="19"/>
      <c r="D34" s="14">
        <f>SUM(D35:D45)</f>
        <v>152380653.69999999</v>
      </c>
    </row>
    <row r="35" spans="1:5" ht="131.25" x14ac:dyDescent="0.3">
      <c r="A35" s="20" t="s">
        <v>181</v>
      </c>
      <c r="B35" s="12" t="s">
        <v>12</v>
      </c>
      <c r="C35" s="12">
        <v>100</v>
      </c>
      <c r="D35" s="5">
        <f>5744271.93+1378036.8</f>
        <v>7122308.7299999995</v>
      </c>
    </row>
    <row r="36" spans="1:5" ht="117" customHeight="1" x14ac:dyDescent="0.3">
      <c r="A36" s="20" t="s">
        <v>182</v>
      </c>
      <c r="B36" s="12" t="s">
        <v>12</v>
      </c>
      <c r="C36" s="12">
        <v>200</v>
      </c>
      <c r="D36" s="5">
        <f>10311081.92+14647.59-30.43+155616.79</f>
        <v>10481315.869999999</v>
      </c>
    </row>
    <row r="37" spans="1:5" ht="102.75" customHeight="1" x14ac:dyDescent="0.3">
      <c r="A37" s="20" t="s">
        <v>144</v>
      </c>
      <c r="B37" s="12" t="s">
        <v>12</v>
      </c>
      <c r="C37" s="12">
        <v>600</v>
      </c>
      <c r="D37" s="5">
        <f>20369091.16+815572.8+585958.74</f>
        <v>21770622.699999999</v>
      </c>
    </row>
    <row r="38" spans="1:5" ht="91.5" customHeight="1" x14ac:dyDescent="0.3">
      <c r="A38" s="20" t="s">
        <v>183</v>
      </c>
      <c r="B38" s="12" t="s">
        <v>12</v>
      </c>
      <c r="C38" s="12">
        <v>800</v>
      </c>
      <c r="D38" s="5">
        <v>297748.40000000002</v>
      </c>
    </row>
    <row r="39" spans="1:5" ht="234.75" customHeight="1" x14ac:dyDescent="0.3">
      <c r="A39" s="20" t="s">
        <v>500</v>
      </c>
      <c r="B39" s="35" t="s">
        <v>501</v>
      </c>
      <c r="C39" s="12">
        <v>100</v>
      </c>
      <c r="D39" s="5">
        <f>36237779.25-437</f>
        <v>36237342.25</v>
      </c>
      <c r="E39" s="30"/>
    </row>
    <row r="40" spans="1:5" ht="189" customHeight="1" x14ac:dyDescent="0.3">
      <c r="A40" s="20" t="s">
        <v>502</v>
      </c>
      <c r="B40" s="35" t="s">
        <v>501</v>
      </c>
      <c r="C40" s="12">
        <v>200</v>
      </c>
      <c r="D40" s="5">
        <f>465736+437</f>
        <v>466173</v>
      </c>
    </row>
    <row r="41" spans="1:5" ht="207.75" customHeight="1" x14ac:dyDescent="0.3">
      <c r="A41" s="20" t="s">
        <v>503</v>
      </c>
      <c r="B41" s="35" t="s">
        <v>501</v>
      </c>
      <c r="C41" s="12">
        <v>600</v>
      </c>
      <c r="D41" s="5">
        <v>62256022.75</v>
      </c>
      <c r="E41" s="30"/>
    </row>
    <row r="42" spans="1:5" ht="200.25" customHeight="1" x14ac:dyDescent="0.3">
      <c r="A42" s="20" t="s">
        <v>620</v>
      </c>
      <c r="B42" s="35" t="s">
        <v>601</v>
      </c>
      <c r="C42" s="12">
        <v>100</v>
      </c>
      <c r="D42" s="5">
        <v>2202984</v>
      </c>
      <c r="E42" s="30"/>
    </row>
    <row r="43" spans="1:5" ht="184.5" customHeight="1" x14ac:dyDescent="0.3">
      <c r="A43" s="20" t="s">
        <v>621</v>
      </c>
      <c r="B43" s="35" t="s">
        <v>601</v>
      </c>
      <c r="C43" s="12">
        <v>600</v>
      </c>
      <c r="D43" s="5">
        <v>2952936</v>
      </c>
    </row>
    <row r="44" spans="1:5" ht="282.75" customHeight="1" x14ac:dyDescent="0.3">
      <c r="A44" s="20" t="s">
        <v>540</v>
      </c>
      <c r="B44" s="35" t="s">
        <v>539</v>
      </c>
      <c r="C44" s="12">
        <v>100</v>
      </c>
      <c r="D44" s="5">
        <f>3749760-78120</f>
        <v>3671640</v>
      </c>
    </row>
    <row r="45" spans="1:5" ht="248.25" customHeight="1" x14ac:dyDescent="0.3">
      <c r="A45" s="20" t="s">
        <v>541</v>
      </c>
      <c r="B45" s="35" t="s">
        <v>539</v>
      </c>
      <c r="C45" s="12">
        <v>600</v>
      </c>
      <c r="D45" s="5">
        <f>4999680-78120</f>
        <v>4921560</v>
      </c>
      <c r="E45" s="30"/>
    </row>
    <row r="46" spans="1:5" s="3" customFormat="1" ht="39" customHeight="1" x14ac:dyDescent="0.3">
      <c r="A46" s="18" t="s">
        <v>344</v>
      </c>
      <c r="B46" s="19" t="s">
        <v>13</v>
      </c>
      <c r="C46" s="19"/>
      <c r="D46" s="14">
        <f>SUM(D47:D55)</f>
        <v>18318833.920000002</v>
      </c>
    </row>
    <row r="47" spans="1:5" ht="75" x14ac:dyDescent="0.3">
      <c r="A47" s="20" t="s">
        <v>145</v>
      </c>
      <c r="B47" s="12" t="s">
        <v>14</v>
      </c>
      <c r="C47" s="12">
        <v>600</v>
      </c>
      <c r="D47" s="5">
        <f>5274118.6+937440</f>
        <v>6211558.5999999996</v>
      </c>
    </row>
    <row r="48" spans="1:5" ht="76.5" customHeight="1" x14ac:dyDescent="0.3">
      <c r="A48" s="20" t="s">
        <v>151</v>
      </c>
      <c r="B48" s="12" t="s">
        <v>15</v>
      </c>
      <c r="C48" s="12">
        <v>200</v>
      </c>
      <c r="D48" s="5">
        <v>443200</v>
      </c>
    </row>
    <row r="49" spans="1:5" ht="74.25" customHeight="1" x14ac:dyDescent="0.3">
      <c r="A49" s="20" t="s">
        <v>146</v>
      </c>
      <c r="B49" s="12" t="s">
        <v>15</v>
      </c>
      <c r="C49" s="12">
        <v>600</v>
      </c>
      <c r="D49" s="5">
        <v>415000</v>
      </c>
    </row>
    <row r="50" spans="1:5" ht="75" customHeight="1" x14ac:dyDescent="0.3">
      <c r="A50" s="11" t="s">
        <v>476</v>
      </c>
      <c r="B50" s="12" t="s">
        <v>475</v>
      </c>
      <c r="C50" s="12">
        <v>600</v>
      </c>
      <c r="D50" s="5">
        <v>1346400</v>
      </c>
    </row>
    <row r="51" spans="1:5" ht="408.75" customHeight="1" x14ac:dyDescent="0.3">
      <c r="A51" s="11" t="s">
        <v>542</v>
      </c>
      <c r="B51" s="12" t="s">
        <v>537</v>
      </c>
      <c r="C51" s="37">
        <v>200</v>
      </c>
      <c r="D51" s="5">
        <v>12750</v>
      </c>
      <c r="E51" s="30"/>
    </row>
    <row r="52" spans="1:5" ht="408.75" customHeight="1" x14ac:dyDescent="0.3">
      <c r="A52" s="11" t="s">
        <v>543</v>
      </c>
      <c r="B52" s="12" t="s">
        <v>537</v>
      </c>
      <c r="C52" s="37">
        <v>600</v>
      </c>
      <c r="D52" s="5">
        <f>289741.2-979.2</f>
        <v>288762</v>
      </c>
      <c r="E52" s="30"/>
    </row>
    <row r="53" spans="1:5" ht="137.25" customHeight="1" x14ac:dyDescent="0.3">
      <c r="A53" s="11" t="s">
        <v>514</v>
      </c>
      <c r="B53" s="12" t="s">
        <v>456</v>
      </c>
      <c r="C53" s="12">
        <v>200</v>
      </c>
      <c r="D53" s="5">
        <f>969628.6+685.6-147491.1+2343.33</f>
        <v>825166.42999999993</v>
      </c>
    </row>
    <row r="54" spans="1:5" ht="129" customHeight="1" x14ac:dyDescent="0.3">
      <c r="A54" s="11" t="s">
        <v>515</v>
      </c>
      <c r="B54" s="12" t="s">
        <v>456</v>
      </c>
      <c r="C54" s="12">
        <v>600</v>
      </c>
      <c r="D54" s="5">
        <f>7393199.26+5227.51+256928.74+22957.17</f>
        <v>7678312.6799999997</v>
      </c>
    </row>
    <row r="55" spans="1:5" ht="78.75" customHeight="1" x14ac:dyDescent="0.3">
      <c r="A55" s="11" t="s">
        <v>623</v>
      </c>
      <c r="B55" s="12" t="s">
        <v>622</v>
      </c>
      <c r="C55" s="12">
        <v>600</v>
      </c>
      <c r="D55" s="5">
        <f>1042800+10533.33+44350.88</f>
        <v>1097684.21</v>
      </c>
    </row>
    <row r="56" spans="1:5" ht="53.25" customHeight="1" x14ac:dyDescent="0.3">
      <c r="A56" s="21" t="s">
        <v>434</v>
      </c>
      <c r="B56" s="19" t="s">
        <v>538</v>
      </c>
      <c r="C56" s="19"/>
      <c r="D56" s="14">
        <f>D57</f>
        <v>2473566.86</v>
      </c>
    </row>
    <row r="57" spans="1:5" ht="146.25" customHeight="1" x14ac:dyDescent="0.3">
      <c r="A57" s="11" t="s">
        <v>545</v>
      </c>
      <c r="B57" s="12" t="s">
        <v>544</v>
      </c>
      <c r="C57" s="36">
        <v>600</v>
      </c>
      <c r="D57" s="5">
        <f>2827808.09+285.64-355555.56+1028.69</f>
        <v>2473566.86</v>
      </c>
    </row>
    <row r="58" spans="1:5" ht="37.5" customHeight="1" x14ac:dyDescent="0.3">
      <c r="A58" s="21" t="s">
        <v>624</v>
      </c>
      <c r="B58" s="19" t="s">
        <v>627</v>
      </c>
      <c r="C58" s="19"/>
      <c r="D58" s="5">
        <f>SUM(D59:D60)</f>
        <v>1598653.98</v>
      </c>
    </row>
    <row r="59" spans="1:5" ht="185.25" customHeight="1" x14ac:dyDescent="0.3">
      <c r="A59" s="11" t="s">
        <v>625</v>
      </c>
      <c r="B59" s="12" t="s">
        <v>628</v>
      </c>
      <c r="C59" s="12">
        <v>100</v>
      </c>
      <c r="D59" s="5">
        <v>913516.53</v>
      </c>
    </row>
    <row r="60" spans="1:5" ht="168.75" customHeight="1" x14ac:dyDescent="0.3">
      <c r="A60" s="11" t="s">
        <v>626</v>
      </c>
      <c r="B60" s="12" t="s">
        <v>628</v>
      </c>
      <c r="C60" s="12">
        <v>600</v>
      </c>
      <c r="D60" s="5">
        <v>685137.45</v>
      </c>
    </row>
    <row r="61" spans="1:5" ht="46.5" customHeight="1" x14ac:dyDescent="0.3">
      <c r="A61" s="16" t="s">
        <v>17</v>
      </c>
      <c r="B61" s="17" t="s">
        <v>16</v>
      </c>
      <c r="C61" s="17"/>
      <c r="D61" s="13">
        <f>D62+D64+D66+D68</f>
        <v>19284830.940000001</v>
      </c>
    </row>
    <row r="62" spans="1:5" ht="54" customHeight="1" x14ac:dyDescent="0.3">
      <c r="A62" s="18" t="s">
        <v>19</v>
      </c>
      <c r="B62" s="19" t="s">
        <v>18</v>
      </c>
      <c r="C62" s="19"/>
      <c r="D62" s="14">
        <f>SUM(D63:D63)</f>
        <v>16855130.940000001</v>
      </c>
    </row>
    <row r="63" spans="1:5" ht="68.25" customHeight="1" x14ac:dyDescent="0.3">
      <c r="A63" s="20" t="s">
        <v>147</v>
      </c>
      <c r="B63" s="12" t="s">
        <v>20</v>
      </c>
      <c r="C63" s="12">
        <v>600</v>
      </c>
      <c r="D63" s="5">
        <f>11253013.64+6091566.46+58220.84-547670</f>
        <v>16855130.940000001</v>
      </c>
    </row>
    <row r="64" spans="1:5" ht="37.5" x14ac:dyDescent="0.3">
      <c r="A64" s="18" t="s">
        <v>361</v>
      </c>
      <c r="B64" s="19" t="s">
        <v>362</v>
      </c>
      <c r="C64" s="19"/>
      <c r="D64" s="14">
        <f t="shared" ref="D64" si="1">D65</f>
        <v>151600</v>
      </c>
    </row>
    <row r="65" spans="1:4" ht="75" x14ac:dyDescent="0.3">
      <c r="A65" s="20" t="s">
        <v>365</v>
      </c>
      <c r="B65" s="12" t="s">
        <v>363</v>
      </c>
      <c r="C65" s="12">
        <v>600</v>
      </c>
      <c r="D65" s="5">
        <v>151600</v>
      </c>
    </row>
    <row r="66" spans="1:4" ht="0.75" hidden="1" customHeight="1" x14ac:dyDescent="0.3">
      <c r="A66" s="21" t="s">
        <v>434</v>
      </c>
      <c r="B66" s="19" t="s">
        <v>469</v>
      </c>
      <c r="C66" s="17"/>
      <c r="D66" s="5"/>
    </row>
    <row r="67" spans="1:4" ht="75" hidden="1" x14ac:dyDescent="0.3">
      <c r="A67" s="20" t="s">
        <v>471</v>
      </c>
      <c r="B67" s="12" t="s">
        <v>470</v>
      </c>
      <c r="C67" s="12">
        <v>600</v>
      </c>
      <c r="D67" s="5"/>
    </row>
    <row r="68" spans="1:4" ht="56.25" x14ac:dyDescent="0.3">
      <c r="A68" s="18" t="s">
        <v>546</v>
      </c>
      <c r="B68" s="19" t="s">
        <v>547</v>
      </c>
      <c r="C68" s="19"/>
      <c r="D68" s="14">
        <f>SUM(D69:D70)</f>
        <v>2278100</v>
      </c>
    </row>
    <row r="69" spans="1:4" ht="75" x14ac:dyDescent="0.3">
      <c r="A69" s="20" t="s">
        <v>548</v>
      </c>
      <c r="B69" s="12" t="s">
        <v>549</v>
      </c>
      <c r="C69" s="12">
        <v>600</v>
      </c>
      <c r="D69" s="5">
        <f>1715520.56+553892.14</f>
        <v>2269412.7000000002</v>
      </c>
    </row>
    <row r="70" spans="1:4" ht="56.25" x14ac:dyDescent="0.3">
      <c r="A70" s="20" t="s">
        <v>550</v>
      </c>
      <c r="B70" s="12" t="s">
        <v>549</v>
      </c>
      <c r="C70" s="12">
        <v>800</v>
      </c>
      <c r="D70" s="5">
        <f>14909.44-6222.14</f>
        <v>8687.2999999999993</v>
      </c>
    </row>
    <row r="71" spans="1:4" s="4" customFormat="1" ht="48" customHeight="1" x14ac:dyDescent="0.3">
      <c r="A71" s="16" t="s">
        <v>22</v>
      </c>
      <c r="B71" s="17" t="s">
        <v>21</v>
      </c>
      <c r="C71" s="17"/>
      <c r="D71" s="13">
        <f t="shared" ref="D71" si="2">D72+D76</f>
        <v>967394</v>
      </c>
    </row>
    <row r="72" spans="1:4" s="3" customFormat="1" ht="36.75" customHeight="1" x14ac:dyDescent="0.3">
      <c r="A72" s="18" t="s">
        <v>168</v>
      </c>
      <c r="B72" s="19" t="s">
        <v>23</v>
      </c>
      <c r="C72" s="19"/>
      <c r="D72" s="14">
        <f t="shared" ref="D72" si="3">SUM(D73:D75)</f>
        <v>907754</v>
      </c>
    </row>
    <row r="73" spans="1:4" ht="56.25" x14ac:dyDescent="0.3">
      <c r="A73" s="20" t="s">
        <v>422</v>
      </c>
      <c r="B73" s="12" t="s">
        <v>25</v>
      </c>
      <c r="C73" s="12">
        <v>600</v>
      </c>
      <c r="D73" s="5">
        <v>22100</v>
      </c>
    </row>
    <row r="74" spans="1:4" s="4" customFormat="1" ht="75" x14ac:dyDescent="0.3">
      <c r="A74" s="20" t="s">
        <v>420</v>
      </c>
      <c r="B74" s="12" t="s">
        <v>24</v>
      </c>
      <c r="C74" s="12">
        <v>200</v>
      </c>
      <c r="D74" s="5">
        <f>20874+8946</f>
        <v>29820</v>
      </c>
    </row>
    <row r="75" spans="1:4" s="3" customFormat="1" ht="75" x14ac:dyDescent="0.3">
      <c r="A75" s="20" t="s">
        <v>421</v>
      </c>
      <c r="B75" s="12" t="s">
        <v>24</v>
      </c>
      <c r="C75" s="12">
        <v>600</v>
      </c>
      <c r="D75" s="5">
        <f>605346+250488</f>
        <v>855834</v>
      </c>
    </row>
    <row r="76" spans="1:4" ht="50.25" customHeight="1" x14ac:dyDescent="0.3">
      <c r="A76" s="18" t="s">
        <v>163</v>
      </c>
      <c r="B76" s="19" t="s">
        <v>26</v>
      </c>
      <c r="C76" s="19"/>
      <c r="D76" s="14">
        <f t="shared" ref="D76" si="4">D77</f>
        <v>59640</v>
      </c>
    </row>
    <row r="77" spans="1:4" ht="96" customHeight="1" x14ac:dyDescent="0.3">
      <c r="A77" s="20" t="s">
        <v>164</v>
      </c>
      <c r="B77" s="12" t="s">
        <v>27</v>
      </c>
      <c r="C77" s="12">
        <v>200</v>
      </c>
      <c r="D77" s="5">
        <f>56700+2940</f>
        <v>59640</v>
      </c>
    </row>
    <row r="78" spans="1:4" ht="31.5" customHeight="1" x14ac:dyDescent="0.3">
      <c r="A78" s="16" t="s">
        <v>184</v>
      </c>
      <c r="B78" s="17" t="s">
        <v>28</v>
      </c>
      <c r="C78" s="17"/>
      <c r="D78" s="13">
        <f t="shared" ref="D78" si="5">D79</f>
        <v>189590</v>
      </c>
    </row>
    <row r="79" spans="1:4" ht="45" customHeight="1" x14ac:dyDescent="0.3">
      <c r="A79" s="18" t="s">
        <v>185</v>
      </c>
      <c r="B79" s="19" t="s">
        <v>29</v>
      </c>
      <c r="C79" s="19"/>
      <c r="D79" s="14">
        <f t="shared" ref="D79" si="6">SUM(D80:D84)</f>
        <v>189590</v>
      </c>
    </row>
    <row r="80" spans="1:4" s="3" customFormat="1" ht="118.5" customHeight="1" x14ac:dyDescent="0.3">
      <c r="A80" s="20" t="s">
        <v>186</v>
      </c>
      <c r="B80" s="12" t="s">
        <v>30</v>
      </c>
      <c r="C80" s="12">
        <v>200</v>
      </c>
      <c r="D80" s="5">
        <v>19590</v>
      </c>
    </row>
    <row r="81" spans="1:4" ht="119.25" customHeight="1" x14ac:dyDescent="0.3">
      <c r="A81" s="20" t="s">
        <v>372</v>
      </c>
      <c r="B81" s="12" t="s">
        <v>30</v>
      </c>
      <c r="C81" s="12">
        <v>600</v>
      </c>
      <c r="D81" s="5">
        <v>65000</v>
      </c>
    </row>
    <row r="82" spans="1:4" s="4" customFormat="1" ht="99.75" customHeight="1" x14ac:dyDescent="0.3">
      <c r="A82" s="20" t="s">
        <v>187</v>
      </c>
      <c r="B82" s="12" t="s">
        <v>31</v>
      </c>
      <c r="C82" s="12">
        <v>200</v>
      </c>
      <c r="D82" s="5">
        <f>8000+35000</f>
        <v>43000</v>
      </c>
    </row>
    <row r="83" spans="1:4" s="4" customFormat="1" ht="99" customHeight="1" x14ac:dyDescent="0.3">
      <c r="A83" s="20" t="s">
        <v>338</v>
      </c>
      <c r="B83" s="12" t="s">
        <v>31</v>
      </c>
      <c r="C83" s="12">
        <v>600</v>
      </c>
      <c r="D83" s="5">
        <f>22000+30000</f>
        <v>52000</v>
      </c>
    </row>
    <row r="84" spans="1:4" s="4" customFormat="1" ht="78.75" customHeight="1" x14ac:dyDescent="0.3">
      <c r="A84" s="20" t="s">
        <v>373</v>
      </c>
      <c r="B84" s="12" t="s">
        <v>368</v>
      </c>
      <c r="C84" s="12">
        <v>600</v>
      </c>
      <c r="D84" s="5">
        <v>10000</v>
      </c>
    </row>
    <row r="85" spans="1:4" s="3" customFormat="1" ht="49.5" customHeight="1" x14ac:dyDescent="0.3">
      <c r="A85" s="22" t="s">
        <v>33</v>
      </c>
      <c r="B85" s="17" t="s">
        <v>32</v>
      </c>
      <c r="C85" s="17"/>
      <c r="D85" s="13">
        <f t="shared" ref="D85" si="7">D86</f>
        <v>50000</v>
      </c>
    </row>
    <row r="86" spans="1:4" ht="53.25" customHeight="1" x14ac:dyDescent="0.3">
      <c r="A86" s="18" t="s">
        <v>35</v>
      </c>
      <c r="B86" s="19" t="s">
        <v>34</v>
      </c>
      <c r="C86" s="19"/>
      <c r="D86" s="14">
        <f t="shared" ref="D86" si="8">SUM(D87:D88)</f>
        <v>50000</v>
      </c>
    </row>
    <row r="87" spans="1:4" ht="111" customHeight="1" x14ac:dyDescent="0.3">
      <c r="A87" s="20" t="s">
        <v>152</v>
      </c>
      <c r="B87" s="12" t="s">
        <v>36</v>
      </c>
      <c r="C87" s="12">
        <v>200</v>
      </c>
      <c r="D87" s="5">
        <v>30000</v>
      </c>
    </row>
    <row r="88" spans="1:4" ht="109.5" customHeight="1" x14ac:dyDescent="0.3">
      <c r="A88" s="20" t="s">
        <v>149</v>
      </c>
      <c r="B88" s="12" t="s">
        <v>36</v>
      </c>
      <c r="C88" s="12">
        <v>600</v>
      </c>
      <c r="D88" s="5">
        <v>20000</v>
      </c>
    </row>
    <row r="89" spans="1:4" ht="69.75" customHeight="1" x14ac:dyDescent="0.3">
      <c r="A89" s="16" t="s">
        <v>188</v>
      </c>
      <c r="B89" s="17" t="s">
        <v>37</v>
      </c>
      <c r="C89" s="17"/>
      <c r="D89" s="13">
        <f t="shared" ref="D89" si="9">D90</f>
        <v>13997221.470000001</v>
      </c>
    </row>
    <row r="90" spans="1:4" s="4" customFormat="1" ht="82.5" customHeight="1" x14ac:dyDescent="0.3">
      <c r="A90" s="18" t="s">
        <v>343</v>
      </c>
      <c r="B90" s="19" t="s">
        <v>38</v>
      </c>
      <c r="C90" s="19"/>
      <c r="D90" s="14">
        <f t="shared" ref="D90" si="10">SUM(D91:D93)</f>
        <v>13997221.470000001</v>
      </c>
    </row>
    <row r="91" spans="1:4" s="3" customFormat="1" ht="93.75" x14ac:dyDescent="0.3">
      <c r="A91" s="20" t="s">
        <v>136</v>
      </c>
      <c r="B91" s="12" t="s">
        <v>39</v>
      </c>
      <c r="C91" s="12">
        <v>100</v>
      </c>
      <c r="D91" s="5">
        <f>11305927.41+890568</f>
        <v>12196495.41</v>
      </c>
    </row>
    <row r="92" spans="1:4" ht="71.25" customHeight="1" x14ac:dyDescent="0.3">
      <c r="A92" s="20" t="s">
        <v>189</v>
      </c>
      <c r="B92" s="12" t="s">
        <v>39</v>
      </c>
      <c r="C92" s="12">
        <v>200</v>
      </c>
      <c r="D92" s="5">
        <f>1731564.9+46661.16</f>
        <v>1778226.0599999998</v>
      </c>
    </row>
    <row r="93" spans="1:4" ht="37.5" x14ac:dyDescent="0.3">
      <c r="A93" s="20" t="s">
        <v>190</v>
      </c>
      <c r="B93" s="12" t="s">
        <v>39</v>
      </c>
      <c r="C93" s="12">
        <v>800</v>
      </c>
      <c r="D93" s="5">
        <v>22500</v>
      </c>
    </row>
    <row r="94" spans="1:4" ht="56.25" x14ac:dyDescent="0.3">
      <c r="A94" s="16" t="s">
        <v>576</v>
      </c>
      <c r="B94" s="17" t="s">
        <v>577</v>
      </c>
      <c r="C94" s="17"/>
      <c r="D94" s="13">
        <f>D95</f>
        <v>40000</v>
      </c>
    </row>
    <row r="95" spans="1:4" ht="37.5" x14ac:dyDescent="0.3">
      <c r="A95" s="18" t="s">
        <v>578</v>
      </c>
      <c r="B95" s="19" t="s">
        <v>579</v>
      </c>
      <c r="C95" s="19"/>
      <c r="D95" s="14">
        <f>D96</f>
        <v>40000</v>
      </c>
    </row>
    <row r="96" spans="1:4" ht="75" x14ac:dyDescent="0.3">
      <c r="A96" s="20" t="s">
        <v>580</v>
      </c>
      <c r="B96" s="12" t="s">
        <v>581</v>
      </c>
      <c r="C96" s="12">
        <v>600</v>
      </c>
      <c r="D96" s="5">
        <v>40000</v>
      </c>
    </row>
    <row r="97" spans="1:4" ht="56.25" x14ac:dyDescent="0.3">
      <c r="A97" s="16" t="s">
        <v>435</v>
      </c>
      <c r="B97" s="17" t="s">
        <v>436</v>
      </c>
      <c r="C97" s="17"/>
      <c r="D97" s="13">
        <f t="shared" ref="D97:D98" si="11">D98</f>
        <v>15000</v>
      </c>
    </row>
    <row r="98" spans="1:4" ht="63.75" customHeight="1" x14ac:dyDescent="0.3">
      <c r="A98" s="18" t="s">
        <v>437</v>
      </c>
      <c r="B98" s="19" t="s">
        <v>438</v>
      </c>
      <c r="C98" s="19"/>
      <c r="D98" s="14">
        <f t="shared" si="11"/>
        <v>15000</v>
      </c>
    </row>
    <row r="99" spans="1:4" ht="71.25" customHeight="1" x14ac:dyDescent="0.3">
      <c r="A99" s="20" t="s">
        <v>440</v>
      </c>
      <c r="B99" s="12" t="s">
        <v>439</v>
      </c>
      <c r="C99" s="12">
        <v>200</v>
      </c>
      <c r="D99" s="5">
        <v>15000</v>
      </c>
    </row>
    <row r="100" spans="1:4" s="4" customFormat="1" ht="69" customHeight="1" x14ac:dyDescent="0.3">
      <c r="A100" s="16" t="s">
        <v>406</v>
      </c>
      <c r="B100" s="17" t="s">
        <v>40</v>
      </c>
      <c r="C100" s="17"/>
      <c r="D100" s="13">
        <f>D101+D107+D114+D121+D139+D148+D152+D117</f>
        <v>42300138.619999997</v>
      </c>
    </row>
    <row r="101" spans="1:4" s="3" customFormat="1" ht="53.25" customHeight="1" x14ac:dyDescent="0.3">
      <c r="A101" s="16" t="s">
        <v>191</v>
      </c>
      <c r="B101" s="17" t="s">
        <v>41</v>
      </c>
      <c r="C101" s="17"/>
      <c r="D101" s="13">
        <f t="shared" ref="D101" si="12">D102</f>
        <v>18597061.119999997</v>
      </c>
    </row>
    <row r="102" spans="1:4" s="4" customFormat="1" ht="88.5" customHeight="1" x14ac:dyDescent="0.3">
      <c r="A102" s="21" t="s">
        <v>227</v>
      </c>
      <c r="B102" s="19" t="s">
        <v>228</v>
      </c>
      <c r="C102" s="19"/>
      <c r="D102" s="14">
        <f>SUM(D103:D106)</f>
        <v>18597061.119999997</v>
      </c>
    </row>
    <row r="103" spans="1:4" s="4" customFormat="1" ht="81.75" customHeight="1" x14ac:dyDescent="0.3">
      <c r="A103" s="20" t="s">
        <v>521</v>
      </c>
      <c r="B103" s="12" t="s">
        <v>520</v>
      </c>
      <c r="C103" s="12">
        <v>200</v>
      </c>
      <c r="D103" s="5">
        <f>123726.37-121044.51+158630.4+0.03</f>
        <v>161312.29</v>
      </c>
    </row>
    <row r="104" spans="1:4" s="3" customFormat="1" ht="66.75" customHeight="1" x14ac:dyDescent="0.3">
      <c r="A104" s="20" t="s">
        <v>453</v>
      </c>
      <c r="B104" s="12" t="s">
        <v>339</v>
      </c>
      <c r="C104" s="12">
        <v>200</v>
      </c>
      <c r="D104" s="5">
        <f>168024.28</f>
        <v>168024.28</v>
      </c>
    </row>
    <row r="105" spans="1:4" s="3" customFormat="1" ht="141.75" customHeight="1" x14ac:dyDescent="0.3">
      <c r="A105" s="20" t="s">
        <v>597</v>
      </c>
      <c r="B105" s="12" t="s">
        <v>598</v>
      </c>
      <c r="C105" s="12">
        <v>500</v>
      </c>
      <c r="D105" s="5">
        <v>6163274</v>
      </c>
    </row>
    <row r="106" spans="1:4" s="3" customFormat="1" ht="118.5" customHeight="1" x14ac:dyDescent="0.3">
      <c r="A106" s="20" t="s">
        <v>596</v>
      </c>
      <c r="B106" s="12" t="s">
        <v>595</v>
      </c>
      <c r="C106" s="12">
        <v>200</v>
      </c>
      <c r="D106" s="5">
        <f>11983406.04+121044.51</f>
        <v>12104450.549999999</v>
      </c>
    </row>
    <row r="107" spans="1:4" ht="54.75" customHeight="1" x14ac:dyDescent="0.3">
      <c r="A107" s="16" t="s">
        <v>192</v>
      </c>
      <c r="B107" s="17" t="s">
        <v>42</v>
      </c>
      <c r="C107" s="17"/>
      <c r="D107" s="13">
        <f t="shared" ref="D107" si="13">D108</f>
        <v>214744.92</v>
      </c>
    </row>
    <row r="108" spans="1:4" ht="35.25" customHeight="1" x14ac:dyDescent="0.3">
      <c r="A108" s="18" t="s">
        <v>193</v>
      </c>
      <c r="B108" s="19" t="s">
        <v>43</v>
      </c>
      <c r="C108" s="19"/>
      <c r="D108" s="14">
        <f>SUM(D109:D113)</f>
        <v>214744.92</v>
      </c>
    </row>
    <row r="109" spans="1:4" s="3" customFormat="1" ht="62.25" customHeight="1" x14ac:dyDescent="0.3">
      <c r="A109" s="20" t="s">
        <v>229</v>
      </c>
      <c r="B109" s="12" t="s">
        <v>44</v>
      </c>
      <c r="C109" s="12">
        <v>200</v>
      </c>
      <c r="D109" s="5">
        <v>144744.92000000001</v>
      </c>
    </row>
    <row r="110" spans="1:4" ht="117.75" customHeight="1" x14ac:dyDescent="0.3">
      <c r="A110" s="20" t="s">
        <v>332</v>
      </c>
      <c r="B110" s="12" t="s">
        <v>45</v>
      </c>
      <c r="C110" s="12">
        <v>200</v>
      </c>
      <c r="D110" s="5">
        <v>20000</v>
      </c>
    </row>
    <row r="111" spans="1:4" ht="111.75" customHeight="1" x14ac:dyDescent="0.3">
      <c r="A111" s="20" t="s">
        <v>333</v>
      </c>
      <c r="B111" s="12" t="s">
        <v>45</v>
      </c>
      <c r="C111" s="12">
        <v>600</v>
      </c>
      <c r="D111" s="5">
        <v>20000</v>
      </c>
    </row>
    <row r="112" spans="1:4" s="4" customFormat="1" ht="78.75" customHeight="1" x14ac:dyDescent="0.3">
      <c r="A112" s="20" t="s">
        <v>230</v>
      </c>
      <c r="B112" s="12" t="s">
        <v>231</v>
      </c>
      <c r="C112" s="12">
        <v>200</v>
      </c>
      <c r="D112" s="5">
        <v>20000</v>
      </c>
    </row>
    <row r="113" spans="1:4" s="4" customFormat="1" ht="75" customHeight="1" x14ac:dyDescent="0.3">
      <c r="A113" s="20" t="s">
        <v>522</v>
      </c>
      <c r="B113" s="12" t="s">
        <v>231</v>
      </c>
      <c r="C113" s="12">
        <v>600</v>
      </c>
      <c r="D113" s="5">
        <v>10000</v>
      </c>
    </row>
    <row r="114" spans="1:4" s="3" customFormat="1" ht="94.5" customHeight="1" x14ac:dyDescent="0.3">
      <c r="A114" s="23" t="s">
        <v>467</v>
      </c>
      <c r="B114" s="17" t="s">
        <v>46</v>
      </c>
      <c r="C114" s="17"/>
      <c r="D114" s="13">
        <f t="shared" ref="D114" si="14">D115</f>
        <v>4536904.45</v>
      </c>
    </row>
    <row r="115" spans="1:4" ht="58.5" customHeight="1" x14ac:dyDescent="0.3">
      <c r="A115" s="18" t="s">
        <v>48</v>
      </c>
      <c r="B115" s="19" t="s">
        <v>47</v>
      </c>
      <c r="C115" s="19"/>
      <c r="D115" s="14">
        <f t="shared" ref="D115" si="15">SUM(D116:D116)</f>
        <v>4536904.45</v>
      </c>
    </row>
    <row r="116" spans="1:4" ht="93.75" x14ac:dyDescent="0.3">
      <c r="A116" s="11" t="s">
        <v>418</v>
      </c>
      <c r="B116" s="12" t="s">
        <v>419</v>
      </c>
      <c r="C116" s="12">
        <v>200</v>
      </c>
      <c r="D116" s="5">
        <f>3725288+811616.45</f>
        <v>4536904.45</v>
      </c>
    </row>
    <row r="117" spans="1:4" ht="37.5" x14ac:dyDescent="0.3">
      <c r="A117" s="23" t="s">
        <v>481</v>
      </c>
      <c r="B117" s="17" t="s">
        <v>477</v>
      </c>
      <c r="C117" s="17"/>
      <c r="D117" s="13">
        <f t="shared" ref="D117" si="16">D118</f>
        <v>903347.18</v>
      </c>
    </row>
    <row r="118" spans="1:4" ht="37.5" x14ac:dyDescent="0.3">
      <c r="A118" s="21" t="s">
        <v>482</v>
      </c>
      <c r="B118" s="19" t="s">
        <v>478</v>
      </c>
      <c r="C118" s="19"/>
      <c r="D118" s="14">
        <f t="shared" ref="D118" si="17">SUM(D119:D120)</f>
        <v>903347.18</v>
      </c>
    </row>
    <row r="119" spans="1:4" ht="53.25" customHeight="1" x14ac:dyDescent="0.3">
      <c r="A119" s="11" t="s">
        <v>483</v>
      </c>
      <c r="B119" s="12" t="s">
        <v>479</v>
      </c>
      <c r="C119" s="12">
        <v>200</v>
      </c>
      <c r="D119" s="5">
        <v>653347.18000000005</v>
      </c>
    </row>
    <row r="120" spans="1:4" ht="89.25" customHeight="1" x14ac:dyDescent="0.3">
      <c r="A120" s="11" t="s">
        <v>484</v>
      </c>
      <c r="B120" s="12" t="s">
        <v>480</v>
      </c>
      <c r="C120" s="12">
        <v>200</v>
      </c>
      <c r="D120" s="5">
        <v>250000</v>
      </c>
    </row>
    <row r="121" spans="1:4" s="4" customFormat="1" ht="74.25" customHeight="1" x14ac:dyDescent="0.3">
      <c r="A121" s="23" t="s">
        <v>232</v>
      </c>
      <c r="B121" s="17" t="s">
        <v>233</v>
      </c>
      <c r="C121" s="12"/>
      <c r="D121" s="13">
        <f>D124+D130+D133+D135+D122</f>
        <v>8917251.7599999998</v>
      </c>
    </row>
    <row r="122" spans="1:4" s="3" customFormat="1" ht="45" customHeight="1" x14ac:dyDescent="0.3">
      <c r="A122" s="21" t="s">
        <v>234</v>
      </c>
      <c r="B122" s="19" t="s">
        <v>235</v>
      </c>
      <c r="C122" s="12"/>
      <c r="D122" s="14">
        <f>D123</f>
        <v>1899446.79</v>
      </c>
    </row>
    <row r="123" spans="1:4" s="3" customFormat="1" ht="83.25" customHeight="1" x14ac:dyDescent="0.3">
      <c r="A123" s="11" t="s">
        <v>518</v>
      </c>
      <c r="B123" s="12" t="s">
        <v>519</v>
      </c>
      <c r="C123" s="12">
        <v>200</v>
      </c>
      <c r="D123" s="5">
        <v>1899446.79</v>
      </c>
    </row>
    <row r="124" spans="1:4" ht="50.25" customHeight="1" x14ac:dyDescent="0.3">
      <c r="A124" s="21" t="s">
        <v>236</v>
      </c>
      <c r="B124" s="19" t="s">
        <v>237</v>
      </c>
      <c r="C124" s="12"/>
      <c r="D124" s="14">
        <f>SUM(D125:D129)</f>
        <v>5666323.8399999999</v>
      </c>
    </row>
    <row r="125" spans="1:4" ht="83.25" customHeight="1" x14ac:dyDescent="0.3">
      <c r="A125" s="11" t="s">
        <v>591</v>
      </c>
      <c r="B125" s="12" t="s">
        <v>592</v>
      </c>
      <c r="C125" s="12">
        <v>500</v>
      </c>
      <c r="D125" s="5">
        <f>706694.36+28267.8</f>
        <v>734962.16</v>
      </c>
    </row>
    <row r="126" spans="1:4" ht="96" customHeight="1" x14ac:dyDescent="0.3">
      <c r="A126" s="11" t="s">
        <v>444</v>
      </c>
      <c r="B126" s="12" t="s">
        <v>445</v>
      </c>
      <c r="C126" s="12">
        <v>500</v>
      </c>
      <c r="D126" s="5">
        <v>500000</v>
      </c>
    </row>
    <row r="127" spans="1:4" ht="70.5" customHeight="1" x14ac:dyDescent="0.3">
      <c r="A127" s="11" t="s">
        <v>380</v>
      </c>
      <c r="B127" s="12" t="s">
        <v>423</v>
      </c>
      <c r="C127" s="12">
        <v>200</v>
      </c>
      <c r="D127" s="5">
        <f>1700000-444160.82+44943.57-0.01</f>
        <v>1300782.74</v>
      </c>
    </row>
    <row r="128" spans="1:4" ht="75" customHeight="1" x14ac:dyDescent="0.3">
      <c r="A128" s="11" t="s">
        <v>429</v>
      </c>
      <c r="B128" s="12" t="s">
        <v>424</v>
      </c>
      <c r="C128" s="12">
        <v>200</v>
      </c>
      <c r="D128" s="5">
        <f>600000</f>
        <v>600000</v>
      </c>
    </row>
    <row r="129" spans="1:4" ht="75.75" customHeight="1" x14ac:dyDescent="0.3">
      <c r="A129" s="11" t="s">
        <v>603</v>
      </c>
      <c r="B129" s="12" t="s">
        <v>602</v>
      </c>
      <c r="C129" s="12">
        <v>200</v>
      </c>
      <c r="D129" s="5">
        <f>2404049.99+24283.33+0.01+102245.6+0.01</f>
        <v>2530578.94</v>
      </c>
    </row>
    <row r="130" spans="1:4" ht="46.5" customHeight="1" x14ac:dyDescent="0.3">
      <c r="A130" s="21" t="s">
        <v>238</v>
      </c>
      <c r="B130" s="19" t="s">
        <v>239</v>
      </c>
      <c r="C130" s="12"/>
      <c r="D130" s="14">
        <f>SUM(D131:D132)</f>
        <v>370000</v>
      </c>
    </row>
    <row r="131" spans="1:4" ht="84" customHeight="1" x14ac:dyDescent="0.3">
      <c r="A131" s="11" t="s">
        <v>593</v>
      </c>
      <c r="B131" s="12" t="s">
        <v>594</v>
      </c>
      <c r="C131" s="12">
        <v>500</v>
      </c>
      <c r="D131" s="5">
        <v>250000</v>
      </c>
    </row>
    <row r="132" spans="1:4" ht="52.5" customHeight="1" x14ac:dyDescent="0.3">
      <c r="A132" s="11" t="s">
        <v>240</v>
      </c>
      <c r="B132" s="12" t="s">
        <v>241</v>
      </c>
      <c r="C132" s="12">
        <v>200</v>
      </c>
      <c r="D132" s="5">
        <v>120000</v>
      </c>
    </row>
    <row r="133" spans="1:4" s="4" customFormat="1" ht="48" customHeight="1" x14ac:dyDescent="0.3">
      <c r="A133" s="21" t="s">
        <v>321</v>
      </c>
      <c r="B133" s="19" t="s">
        <v>242</v>
      </c>
      <c r="C133" s="12"/>
      <c r="D133" s="14">
        <f t="shared" ref="D133" si="18">D134</f>
        <v>78056.600000000006</v>
      </c>
    </row>
    <row r="134" spans="1:4" s="3" customFormat="1" ht="69.75" customHeight="1" x14ac:dyDescent="0.3">
      <c r="A134" s="11" t="s">
        <v>322</v>
      </c>
      <c r="B134" s="12" t="s">
        <v>243</v>
      </c>
      <c r="C134" s="12">
        <v>200</v>
      </c>
      <c r="D134" s="5">
        <f>80000-1943.4</f>
        <v>78056.600000000006</v>
      </c>
    </row>
    <row r="135" spans="1:4" s="3" customFormat="1" ht="54.75" customHeight="1" x14ac:dyDescent="0.3">
      <c r="A135" s="21" t="s">
        <v>347</v>
      </c>
      <c r="B135" s="19" t="s">
        <v>345</v>
      </c>
      <c r="C135" s="19"/>
      <c r="D135" s="14">
        <f t="shared" ref="D135" si="19">SUM(D136:D138)</f>
        <v>903424.53</v>
      </c>
    </row>
    <row r="136" spans="1:4" s="3" customFormat="1" ht="72.75" customHeight="1" x14ac:dyDescent="0.3">
      <c r="A136" s="11" t="s">
        <v>348</v>
      </c>
      <c r="B136" s="12" t="s">
        <v>346</v>
      </c>
      <c r="C136" s="12">
        <v>200</v>
      </c>
      <c r="D136" s="5">
        <f>402341.38-84984.46</f>
        <v>317356.92</v>
      </c>
    </row>
    <row r="137" spans="1:4" s="3" customFormat="1" ht="76.5" customHeight="1" x14ac:dyDescent="0.3">
      <c r="A137" s="11" t="s">
        <v>524</v>
      </c>
      <c r="B137" s="12" t="s">
        <v>523</v>
      </c>
      <c r="C137" s="12">
        <v>200</v>
      </c>
      <c r="D137" s="5">
        <v>130000</v>
      </c>
    </row>
    <row r="138" spans="1:4" s="3" customFormat="1" ht="191.25" customHeight="1" x14ac:dyDescent="0.3">
      <c r="A138" s="11" t="s">
        <v>486</v>
      </c>
      <c r="B138" s="12" t="s">
        <v>485</v>
      </c>
      <c r="C138" s="12">
        <v>800</v>
      </c>
      <c r="D138" s="5">
        <v>456067.61</v>
      </c>
    </row>
    <row r="139" spans="1:4" s="3" customFormat="1" ht="75" customHeight="1" x14ac:dyDescent="0.3">
      <c r="A139" s="23" t="s">
        <v>244</v>
      </c>
      <c r="B139" s="17" t="s">
        <v>245</v>
      </c>
      <c r="C139" s="12"/>
      <c r="D139" s="13">
        <f t="shared" ref="D139" si="20">D140+D144+D146</f>
        <v>952000</v>
      </c>
    </row>
    <row r="140" spans="1:4" ht="98.25" customHeight="1" x14ac:dyDescent="0.3">
      <c r="A140" s="21" t="s">
        <v>246</v>
      </c>
      <c r="B140" s="19" t="s">
        <v>247</v>
      </c>
      <c r="C140" s="12"/>
      <c r="D140" s="14">
        <f t="shared" ref="D140" si="21">SUM(D141:D143)</f>
        <v>434000</v>
      </c>
    </row>
    <row r="141" spans="1:4" s="4" customFormat="1" ht="77.25" customHeight="1" x14ac:dyDescent="0.3">
      <c r="A141" s="11" t="s">
        <v>248</v>
      </c>
      <c r="B141" s="12" t="s">
        <v>249</v>
      </c>
      <c r="C141" s="12">
        <v>200</v>
      </c>
      <c r="D141" s="5">
        <v>30000</v>
      </c>
    </row>
    <row r="142" spans="1:4" s="4" customFormat="1" ht="137.25" customHeight="1" x14ac:dyDescent="0.3">
      <c r="A142" s="11" t="s">
        <v>250</v>
      </c>
      <c r="B142" s="12" t="s">
        <v>251</v>
      </c>
      <c r="C142" s="12">
        <v>200</v>
      </c>
      <c r="D142" s="5">
        <v>4000</v>
      </c>
    </row>
    <row r="143" spans="1:4" s="4" customFormat="1" ht="78" customHeight="1" x14ac:dyDescent="0.3">
      <c r="A143" s="11" t="s">
        <v>381</v>
      </c>
      <c r="B143" s="12" t="s">
        <v>382</v>
      </c>
      <c r="C143" s="12">
        <v>200</v>
      </c>
      <c r="D143" s="5">
        <f>300000+100000</f>
        <v>400000</v>
      </c>
    </row>
    <row r="144" spans="1:4" ht="32.25" customHeight="1" x14ac:dyDescent="0.3">
      <c r="A144" s="24" t="s">
        <v>252</v>
      </c>
      <c r="B144" s="19" t="s">
        <v>253</v>
      </c>
      <c r="C144" s="12"/>
      <c r="D144" s="14">
        <f t="shared" ref="D144" si="22">D145</f>
        <v>500000</v>
      </c>
    </row>
    <row r="145" spans="1:4" ht="48.75" customHeight="1" x14ac:dyDescent="0.3">
      <c r="A145" s="11" t="s">
        <v>254</v>
      </c>
      <c r="B145" s="12" t="s">
        <v>255</v>
      </c>
      <c r="C145" s="12">
        <v>800</v>
      </c>
      <c r="D145" s="5">
        <v>500000</v>
      </c>
    </row>
    <row r="146" spans="1:4" ht="112.5" customHeight="1" x14ac:dyDescent="0.3">
      <c r="A146" s="21" t="s">
        <v>489</v>
      </c>
      <c r="B146" s="19" t="s">
        <v>487</v>
      </c>
      <c r="C146" s="19"/>
      <c r="D146" s="14">
        <f t="shared" ref="D146" si="23">D147</f>
        <v>18000</v>
      </c>
    </row>
    <row r="147" spans="1:4" ht="97.5" customHeight="1" x14ac:dyDescent="0.3">
      <c r="A147" s="11" t="s">
        <v>490</v>
      </c>
      <c r="B147" s="12" t="s">
        <v>488</v>
      </c>
      <c r="C147" s="12">
        <v>200</v>
      </c>
      <c r="D147" s="5">
        <v>18000</v>
      </c>
    </row>
    <row r="148" spans="1:4" ht="57" customHeight="1" x14ac:dyDescent="0.3">
      <c r="A148" s="25" t="s">
        <v>256</v>
      </c>
      <c r="B148" s="17" t="s">
        <v>257</v>
      </c>
      <c r="C148" s="12"/>
      <c r="D148" s="13">
        <f t="shared" ref="D148" si="24">D149</f>
        <v>1124930.43</v>
      </c>
    </row>
    <row r="149" spans="1:4" ht="51.75" customHeight="1" x14ac:dyDescent="0.3">
      <c r="A149" s="21" t="s">
        <v>258</v>
      </c>
      <c r="B149" s="19" t="s">
        <v>259</v>
      </c>
      <c r="C149" s="12"/>
      <c r="D149" s="14">
        <f>SUM(D150:D151)</f>
        <v>1124930.43</v>
      </c>
    </row>
    <row r="150" spans="1:4" ht="99.75" customHeight="1" x14ac:dyDescent="0.3">
      <c r="A150" s="11" t="s">
        <v>605</v>
      </c>
      <c r="B150" s="12" t="s">
        <v>604</v>
      </c>
      <c r="C150" s="12">
        <v>500</v>
      </c>
      <c r="D150" s="5">
        <v>618553.61</v>
      </c>
    </row>
    <row r="151" spans="1:4" s="3" customFormat="1" ht="91.5" customHeight="1" x14ac:dyDescent="0.3">
      <c r="A151" s="11" t="s">
        <v>340</v>
      </c>
      <c r="B151" s="12" t="s">
        <v>260</v>
      </c>
      <c r="C151" s="12">
        <v>200</v>
      </c>
      <c r="D151" s="5">
        <f>500000+6376.82</f>
        <v>506376.82</v>
      </c>
    </row>
    <row r="152" spans="1:4" s="3" customFormat="1" ht="71.25" customHeight="1" x14ac:dyDescent="0.3">
      <c r="A152" s="23" t="s">
        <v>374</v>
      </c>
      <c r="B152" s="17" t="s">
        <v>369</v>
      </c>
      <c r="C152" s="17"/>
      <c r="D152" s="13">
        <f t="shared" ref="D152:D153" si="25">D153</f>
        <v>7053898.7599999998</v>
      </c>
    </row>
    <row r="153" spans="1:4" s="3" customFormat="1" ht="69" customHeight="1" x14ac:dyDescent="0.3">
      <c r="A153" s="21" t="s">
        <v>375</v>
      </c>
      <c r="B153" s="19" t="s">
        <v>370</v>
      </c>
      <c r="C153" s="19"/>
      <c r="D153" s="14">
        <f t="shared" si="25"/>
        <v>7053898.7599999998</v>
      </c>
    </row>
    <row r="154" spans="1:4" s="3" customFormat="1" ht="94.5" customHeight="1" x14ac:dyDescent="0.3">
      <c r="A154" s="11" t="s">
        <v>376</v>
      </c>
      <c r="B154" s="12" t="s">
        <v>371</v>
      </c>
      <c r="C154" s="12">
        <v>400</v>
      </c>
      <c r="D154" s="5">
        <f>2383821+4670077.76</f>
        <v>7053898.7599999998</v>
      </c>
    </row>
    <row r="155" spans="1:4" ht="57" customHeight="1" x14ac:dyDescent="0.3">
      <c r="A155" s="16" t="s">
        <v>198</v>
      </c>
      <c r="B155" s="17" t="s">
        <v>49</v>
      </c>
      <c r="C155" s="17"/>
      <c r="D155" s="13">
        <f>D156+D164+D167+D171+D174+D177+D181+D178</f>
        <v>33445003.479999997</v>
      </c>
    </row>
    <row r="156" spans="1:4" ht="54.75" customHeight="1" x14ac:dyDescent="0.3">
      <c r="A156" s="16" t="s">
        <v>199</v>
      </c>
      <c r="B156" s="17" t="s">
        <v>50</v>
      </c>
      <c r="C156" s="17"/>
      <c r="D156" s="13">
        <f>D157</f>
        <v>24765163.169999998</v>
      </c>
    </row>
    <row r="157" spans="1:4" s="4" customFormat="1" ht="32.25" customHeight="1" x14ac:dyDescent="0.3">
      <c r="A157" s="18" t="s">
        <v>52</v>
      </c>
      <c r="B157" s="19" t="s">
        <v>51</v>
      </c>
      <c r="C157" s="19"/>
      <c r="D157" s="14">
        <f>SUM(D158:D163)</f>
        <v>24765163.169999998</v>
      </c>
    </row>
    <row r="158" spans="1:4" s="3" customFormat="1" ht="111.75" customHeight="1" x14ac:dyDescent="0.3">
      <c r="A158" s="20" t="s">
        <v>137</v>
      </c>
      <c r="B158" s="12" t="s">
        <v>53</v>
      </c>
      <c r="C158" s="12">
        <v>100</v>
      </c>
      <c r="D158" s="5">
        <f>13898826.54+7031166.31</f>
        <v>20929992.849999998</v>
      </c>
    </row>
    <row r="159" spans="1:4" ht="75" customHeight="1" x14ac:dyDescent="0.3">
      <c r="A159" s="20" t="s">
        <v>153</v>
      </c>
      <c r="B159" s="12" t="s">
        <v>53</v>
      </c>
      <c r="C159" s="12">
        <v>200</v>
      </c>
      <c r="D159" s="5">
        <f>2526304.79-11000+40.38+72295.77</f>
        <v>2587640.94</v>
      </c>
    </row>
    <row r="160" spans="1:4" s="3" customFormat="1" ht="57.75" customHeight="1" x14ac:dyDescent="0.3">
      <c r="A160" s="20" t="s">
        <v>150</v>
      </c>
      <c r="B160" s="12" t="s">
        <v>53</v>
      </c>
      <c r="C160" s="12">
        <v>800</v>
      </c>
      <c r="D160" s="5">
        <f>2600+11000</f>
        <v>13600</v>
      </c>
    </row>
    <row r="161" spans="1:4" ht="116.25" customHeight="1" x14ac:dyDescent="0.3">
      <c r="A161" s="20" t="s">
        <v>138</v>
      </c>
      <c r="B161" s="12" t="s">
        <v>54</v>
      </c>
      <c r="C161" s="12">
        <v>100</v>
      </c>
      <c r="D161" s="5">
        <f>582431.47+94829.91</f>
        <v>677261.38</v>
      </c>
    </row>
    <row r="162" spans="1:4" ht="78" customHeight="1" x14ac:dyDescent="0.3">
      <c r="A162" s="20" t="s">
        <v>154</v>
      </c>
      <c r="B162" s="12" t="s">
        <v>54</v>
      </c>
      <c r="C162" s="12">
        <v>200</v>
      </c>
      <c r="D162" s="5">
        <v>356668</v>
      </c>
    </row>
    <row r="163" spans="1:4" ht="84.75" customHeight="1" x14ac:dyDescent="0.3">
      <c r="A163" s="20" t="s">
        <v>526</v>
      </c>
      <c r="B163" s="12" t="s">
        <v>525</v>
      </c>
      <c r="C163" s="12">
        <v>200</v>
      </c>
      <c r="D163" s="5">
        <v>200000</v>
      </c>
    </row>
    <row r="164" spans="1:4" ht="50.25" customHeight="1" x14ac:dyDescent="0.3">
      <c r="A164" s="16" t="s">
        <v>56</v>
      </c>
      <c r="B164" s="17" t="s">
        <v>55</v>
      </c>
      <c r="C164" s="17"/>
      <c r="D164" s="13">
        <f>D165</f>
        <v>7416801.3700000001</v>
      </c>
    </row>
    <row r="165" spans="1:4" s="4" customFormat="1" ht="51.75" customHeight="1" x14ac:dyDescent="0.3">
      <c r="A165" s="18" t="s">
        <v>58</v>
      </c>
      <c r="B165" s="19" t="s">
        <v>57</v>
      </c>
      <c r="C165" s="19"/>
      <c r="D165" s="14">
        <f t="shared" ref="D165" si="26">D166</f>
        <v>7416801.3700000001</v>
      </c>
    </row>
    <row r="166" spans="1:4" s="3" customFormat="1" ht="72" customHeight="1" x14ac:dyDescent="0.3">
      <c r="A166" s="20" t="s">
        <v>148</v>
      </c>
      <c r="B166" s="12" t="s">
        <v>59</v>
      </c>
      <c r="C166" s="12">
        <v>600</v>
      </c>
      <c r="D166" s="5">
        <f>5310668.92+2030360.75+12834.33+62937.37</f>
        <v>7416801.3700000001</v>
      </c>
    </row>
    <row r="167" spans="1:4" ht="48" customHeight="1" x14ac:dyDescent="0.3">
      <c r="A167" s="16" t="s">
        <v>364</v>
      </c>
      <c r="B167" s="17" t="s">
        <v>60</v>
      </c>
      <c r="C167" s="17"/>
      <c r="D167" s="13">
        <f t="shared" ref="D167" si="27">D168</f>
        <v>283459.99</v>
      </c>
    </row>
    <row r="168" spans="1:4" s="4" customFormat="1" ht="39" customHeight="1" x14ac:dyDescent="0.3">
      <c r="A168" s="18" t="s">
        <v>62</v>
      </c>
      <c r="B168" s="19" t="s">
        <v>61</v>
      </c>
      <c r="C168" s="19"/>
      <c r="D168" s="14">
        <f t="shared" ref="D168" si="28">SUM(D169:D170)</f>
        <v>283459.99</v>
      </c>
    </row>
    <row r="169" spans="1:4" s="3" customFormat="1" ht="104.25" customHeight="1" x14ac:dyDescent="0.3">
      <c r="A169" s="20" t="s">
        <v>377</v>
      </c>
      <c r="B169" s="12" t="s">
        <v>63</v>
      </c>
      <c r="C169" s="12">
        <v>200</v>
      </c>
      <c r="D169" s="5">
        <v>220000</v>
      </c>
    </row>
    <row r="170" spans="1:4" s="3" customFormat="1" ht="93.75" x14ac:dyDescent="0.3">
      <c r="A170" s="20" t="s">
        <v>517</v>
      </c>
      <c r="B170" s="12" t="s">
        <v>516</v>
      </c>
      <c r="C170" s="12">
        <v>200</v>
      </c>
      <c r="D170" s="5">
        <f>80033+808.41-3998-40.38-15748.01-159.07+2564.04</f>
        <v>63459.99</v>
      </c>
    </row>
    <row r="171" spans="1:4" ht="47.25" customHeight="1" x14ac:dyDescent="0.3">
      <c r="A171" s="16" t="s">
        <v>169</v>
      </c>
      <c r="B171" s="17" t="s">
        <v>64</v>
      </c>
      <c r="C171" s="17"/>
      <c r="D171" s="13">
        <f t="shared" ref="D171" si="29">D172</f>
        <v>50000</v>
      </c>
    </row>
    <row r="172" spans="1:4" ht="32.25" customHeight="1" x14ac:dyDescent="0.3">
      <c r="A172" s="18" t="s">
        <v>200</v>
      </c>
      <c r="B172" s="19" t="s">
        <v>65</v>
      </c>
      <c r="C172" s="19"/>
      <c r="D172" s="14">
        <f t="shared" ref="D172" si="30">SUM(D173:D173)</f>
        <v>50000</v>
      </c>
    </row>
    <row r="173" spans="1:4" ht="55.5" customHeight="1" x14ac:dyDescent="0.3">
      <c r="A173" s="20" t="s">
        <v>170</v>
      </c>
      <c r="B173" s="12" t="s">
        <v>66</v>
      </c>
      <c r="C173" s="12">
        <v>200</v>
      </c>
      <c r="D173" s="5">
        <v>50000</v>
      </c>
    </row>
    <row r="174" spans="1:4" s="3" customFormat="1" ht="74.25" customHeight="1" x14ac:dyDescent="0.3">
      <c r="A174" s="16" t="s">
        <v>342</v>
      </c>
      <c r="B174" s="17" t="s">
        <v>67</v>
      </c>
      <c r="C174" s="17"/>
      <c r="D174" s="13">
        <f t="shared" ref="D174:D175" si="31">D175</f>
        <v>50000</v>
      </c>
    </row>
    <row r="175" spans="1:4" ht="65.25" customHeight="1" x14ac:dyDescent="0.3">
      <c r="A175" s="18" t="s">
        <v>69</v>
      </c>
      <c r="B175" s="19" t="s">
        <v>68</v>
      </c>
      <c r="C175" s="19"/>
      <c r="D175" s="14">
        <f t="shared" si="31"/>
        <v>50000</v>
      </c>
    </row>
    <row r="176" spans="1:4" s="4" customFormat="1" ht="57.75" customHeight="1" x14ac:dyDescent="0.3">
      <c r="A176" s="20" t="s">
        <v>155</v>
      </c>
      <c r="B176" s="12" t="s">
        <v>70</v>
      </c>
      <c r="C176" s="12">
        <v>200</v>
      </c>
      <c r="D176" s="5">
        <v>50000</v>
      </c>
    </row>
    <row r="177" spans="1:4" s="3" customFormat="1" ht="68.25" hidden="1" customHeight="1" x14ac:dyDescent="0.3">
      <c r="A177" s="16" t="s">
        <v>407</v>
      </c>
      <c r="B177" s="17" t="s">
        <v>71</v>
      </c>
      <c r="C177" s="17"/>
      <c r="D177" s="14"/>
    </row>
    <row r="178" spans="1:4" s="3" customFormat="1" ht="68.25" customHeight="1" x14ac:dyDescent="0.3">
      <c r="A178" s="16" t="s">
        <v>629</v>
      </c>
      <c r="B178" s="17" t="s">
        <v>71</v>
      </c>
      <c r="C178" s="17"/>
      <c r="D178" s="13">
        <f>D179</f>
        <v>631578.94999999995</v>
      </c>
    </row>
    <row r="179" spans="1:4" s="3" customFormat="1" ht="57.75" customHeight="1" x14ac:dyDescent="0.3">
      <c r="A179" s="18" t="s">
        <v>630</v>
      </c>
      <c r="B179" s="19" t="s">
        <v>631</v>
      </c>
      <c r="C179" s="17"/>
      <c r="D179" s="14">
        <f>D180</f>
        <v>631578.94999999995</v>
      </c>
    </row>
    <row r="180" spans="1:4" s="3" customFormat="1" ht="68.25" customHeight="1" x14ac:dyDescent="0.3">
      <c r="A180" s="20" t="s">
        <v>632</v>
      </c>
      <c r="B180" s="12" t="s">
        <v>633</v>
      </c>
      <c r="C180" s="12">
        <v>200</v>
      </c>
      <c r="D180" s="5">
        <f>600000+6060.61+25518.34</f>
        <v>631578.94999999995</v>
      </c>
    </row>
    <row r="181" spans="1:4" s="3" customFormat="1" ht="60" customHeight="1" x14ac:dyDescent="0.3">
      <c r="A181" s="23" t="s">
        <v>367</v>
      </c>
      <c r="B181" s="17" t="s">
        <v>261</v>
      </c>
      <c r="C181" s="12"/>
      <c r="D181" s="13">
        <f>D182+D184</f>
        <v>248000</v>
      </c>
    </row>
    <row r="182" spans="1:4" ht="48" customHeight="1" x14ac:dyDescent="0.3">
      <c r="A182" s="21" t="s">
        <v>262</v>
      </c>
      <c r="B182" s="19" t="s">
        <v>263</v>
      </c>
      <c r="C182" s="12"/>
      <c r="D182" s="14">
        <f>D183</f>
        <v>242000</v>
      </c>
    </row>
    <row r="183" spans="1:4" ht="72.75" customHeight="1" x14ac:dyDescent="0.3">
      <c r="A183" s="11" t="s">
        <v>425</v>
      </c>
      <c r="B183" s="12" t="s">
        <v>264</v>
      </c>
      <c r="C183" s="12">
        <v>200</v>
      </c>
      <c r="D183" s="5">
        <v>242000</v>
      </c>
    </row>
    <row r="184" spans="1:4" s="4" customFormat="1" ht="47.25" customHeight="1" x14ac:dyDescent="0.3">
      <c r="A184" s="21" t="s">
        <v>265</v>
      </c>
      <c r="B184" s="19" t="s">
        <v>266</v>
      </c>
      <c r="C184" s="19"/>
      <c r="D184" s="14">
        <f>D185</f>
        <v>6000</v>
      </c>
    </row>
    <row r="185" spans="1:4" s="4" customFormat="1" ht="70.5" customHeight="1" x14ac:dyDescent="0.3">
      <c r="A185" s="11" t="s">
        <v>527</v>
      </c>
      <c r="B185" s="12" t="s">
        <v>528</v>
      </c>
      <c r="C185" s="12">
        <v>600</v>
      </c>
      <c r="D185" s="5">
        <v>6000</v>
      </c>
    </row>
    <row r="186" spans="1:4" ht="84" customHeight="1" x14ac:dyDescent="0.3">
      <c r="A186" s="16" t="s">
        <v>267</v>
      </c>
      <c r="B186" s="17" t="s">
        <v>72</v>
      </c>
      <c r="C186" s="17"/>
      <c r="D186" s="13">
        <f>D187+D193+D201</f>
        <v>3753975.0599999996</v>
      </c>
    </row>
    <row r="187" spans="1:4" ht="49.5" customHeight="1" x14ac:dyDescent="0.3">
      <c r="A187" s="16" t="s">
        <v>201</v>
      </c>
      <c r="B187" s="17" t="s">
        <v>73</v>
      </c>
      <c r="C187" s="17"/>
      <c r="D187" s="13">
        <f t="shared" ref="D187" si="32">D188</f>
        <v>137900</v>
      </c>
    </row>
    <row r="188" spans="1:4" s="4" customFormat="1" ht="66.75" customHeight="1" x14ac:dyDescent="0.3">
      <c r="A188" s="21" t="s">
        <v>268</v>
      </c>
      <c r="B188" s="19" t="s">
        <v>269</v>
      </c>
      <c r="C188" s="19"/>
      <c r="D188" s="14">
        <f>SUM(D189:D192)</f>
        <v>137900</v>
      </c>
    </row>
    <row r="189" spans="1:4" s="3" customFormat="1" ht="82.5" customHeight="1" x14ac:dyDescent="0.3">
      <c r="A189" s="20" t="s">
        <v>551</v>
      </c>
      <c r="B189" s="12" t="s">
        <v>270</v>
      </c>
      <c r="C189" s="12">
        <v>600</v>
      </c>
      <c r="D189" s="5">
        <v>18800</v>
      </c>
    </row>
    <row r="190" spans="1:4" ht="96" customHeight="1" x14ac:dyDescent="0.3">
      <c r="A190" s="20" t="s">
        <v>156</v>
      </c>
      <c r="B190" s="12" t="s">
        <v>271</v>
      </c>
      <c r="C190" s="12">
        <v>200</v>
      </c>
      <c r="D190" s="5">
        <v>4300</v>
      </c>
    </row>
    <row r="191" spans="1:4" ht="79.5" customHeight="1" x14ac:dyDescent="0.3">
      <c r="A191" s="20" t="s">
        <v>202</v>
      </c>
      <c r="B191" s="12" t="s">
        <v>272</v>
      </c>
      <c r="C191" s="12">
        <v>200</v>
      </c>
      <c r="D191" s="5">
        <v>104800</v>
      </c>
    </row>
    <row r="192" spans="1:4" ht="74.25" customHeight="1" x14ac:dyDescent="0.3">
      <c r="A192" s="20" t="s">
        <v>492</v>
      </c>
      <c r="B192" s="12" t="s">
        <v>491</v>
      </c>
      <c r="C192" s="12">
        <v>200</v>
      </c>
      <c r="D192" s="5">
        <v>10000</v>
      </c>
    </row>
    <row r="193" spans="1:4" s="4" customFormat="1" ht="37.5" x14ac:dyDescent="0.3">
      <c r="A193" s="16" t="s">
        <v>203</v>
      </c>
      <c r="B193" s="17" t="s">
        <v>74</v>
      </c>
      <c r="C193" s="17"/>
      <c r="D193" s="13">
        <f t="shared" ref="D193" si="33">D194</f>
        <v>3523075.0599999996</v>
      </c>
    </row>
    <row r="194" spans="1:4" s="3" customFormat="1" ht="53.25" customHeight="1" x14ac:dyDescent="0.3">
      <c r="A194" s="21" t="s">
        <v>273</v>
      </c>
      <c r="B194" s="19" t="s">
        <v>274</v>
      </c>
      <c r="C194" s="19"/>
      <c r="D194" s="14">
        <f t="shared" ref="D194" si="34">SUM(D195:D200)</f>
        <v>3523075.0599999996</v>
      </c>
    </row>
    <row r="195" spans="1:4" ht="56.25" x14ac:dyDescent="0.3">
      <c r="A195" s="20" t="s">
        <v>330</v>
      </c>
      <c r="B195" s="12" t="s">
        <v>275</v>
      </c>
      <c r="C195" s="12">
        <v>200</v>
      </c>
      <c r="D195" s="5">
        <f>300000+115205.46</f>
        <v>415205.46</v>
      </c>
    </row>
    <row r="196" spans="1:4" ht="37.5" x14ac:dyDescent="0.3">
      <c r="A196" s="20" t="s">
        <v>426</v>
      </c>
      <c r="B196" s="12" t="s">
        <v>275</v>
      </c>
      <c r="C196" s="12">
        <v>800</v>
      </c>
      <c r="D196" s="5">
        <v>50000</v>
      </c>
    </row>
    <row r="197" spans="1:4" ht="75" x14ac:dyDescent="0.3">
      <c r="A197" s="11" t="s">
        <v>341</v>
      </c>
      <c r="B197" s="12" t="s">
        <v>331</v>
      </c>
      <c r="C197" s="12">
        <v>600</v>
      </c>
      <c r="D197" s="5">
        <v>190700</v>
      </c>
    </row>
    <row r="198" spans="1:4" ht="93.75" x14ac:dyDescent="0.3">
      <c r="A198" s="11" t="s">
        <v>442</v>
      </c>
      <c r="B198" s="12" t="s">
        <v>441</v>
      </c>
      <c r="C198" s="12">
        <v>100</v>
      </c>
      <c r="D198" s="5">
        <f>2530728.51-115205.46+152334</f>
        <v>2567857.0499999998</v>
      </c>
    </row>
    <row r="199" spans="1:4" ht="56.25" x14ac:dyDescent="0.3">
      <c r="A199" s="11" t="s">
        <v>493</v>
      </c>
      <c r="B199" s="12" t="s">
        <v>441</v>
      </c>
      <c r="C199" s="12">
        <v>200</v>
      </c>
      <c r="D199" s="5">
        <v>297812.55</v>
      </c>
    </row>
    <row r="200" spans="1:4" ht="37.5" x14ac:dyDescent="0.3">
      <c r="A200" s="11" t="s">
        <v>494</v>
      </c>
      <c r="B200" s="12" t="s">
        <v>441</v>
      </c>
      <c r="C200" s="12">
        <v>800</v>
      </c>
      <c r="D200" s="5">
        <v>1500</v>
      </c>
    </row>
    <row r="201" spans="1:4" s="3" customFormat="1" ht="58.5" customHeight="1" x14ac:dyDescent="0.3">
      <c r="A201" s="23" t="s">
        <v>276</v>
      </c>
      <c r="B201" s="17" t="s">
        <v>277</v>
      </c>
      <c r="C201" s="12"/>
      <c r="D201" s="13">
        <f t="shared" ref="D201" si="35">D202</f>
        <v>93000</v>
      </c>
    </row>
    <row r="202" spans="1:4" ht="48.75" customHeight="1" x14ac:dyDescent="0.3">
      <c r="A202" s="21" t="s">
        <v>278</v>
      </c>
      <c r="B202" s="19" t="s">
        <v>279</v>
      </c>
      <c r="C202" s="12"/>
      <c r="D202" s="14">
        <f>SUM(D203:D206)</f>
        <v>93000</v>
      </c>
    </row>
    <row r="203" spans="1:4" s="3" customFormat="1" ht="57.75" customHeight="1" x14ac:dyDescent="0.3">
      <c r="A203" s="11" t="s">
        <v>280</v>
      </c>
      <c r="B203" s="12" t="s">
        <v>281</v>
      </c>
      <c r="C203" s="12">
        <v>200</v>
      </c>
      <c r="D203" s="5">
        <v>10000</v>
      </c>
    </row>
    <row r="204" spans="1:4" ht="51" customHeight="1" x14ac:dyDescent="0.3">
      <c r="A204" s="11" t="s">
        <v>157</v>
      </c>
      <c r="B204" s="12" t="s">
        <v>282</v>
      </c>
      <c r="C204" s="12">
        <v>200</v>
      </c>
      <c r="D204" s="5">
        <v>10000</v>
      </c>
    </row>
    <row r="205" spans="1:4" ht="54.75" customHeight="1" x14ac:dyDescent="0.3">
      <c r="A205" s="11" t="s">
        <v>283</v>
      </c>
      <c r="B205" s="12" t="s">
        <v>284</v>
      </c>
      <c r="C205" s="12">
        <v>200</v>
      </c>
      <c r="D205" s="5">
        <v>29000</v>
      </c>
    </row>
    <row r="206" spans="1:4" ht="91.5" customHeight="1" x14ac:dyDescent="0.3">
      <c r="A206" s="11" t="s">
        <v>427</v>
      </c>
      <c r="B206" s="12" t="s">
        <v>285</v>
      </c>
      <c r="C206" s="12">
        <v>600</v>
      </c>
      <c r="D206" s="5">
        <v>44000</v>
      </c>
    </row>
    <row r="207" spans="1:4" s="4" customFormat="1" ht="51.75" customHeight="1" x14ac:dyDescent="0.3">
      <c r="A207" s="16" t="s">
        <v>204</v>
      </c>
      <c r="B207" s="17" t="s">
        <v>75</v>
      </c>
      <c r="C207" s="17"/>
      <c r="D207" s="13">
        <f t="shared" ref="D207" si="36">D208+D214+D220+D224</f>
        <v>1234613.5</v>
      </c>
    </row>
    <row r="208" spans="1:4" s="3" customFormat="1" ht="49.5" customHeight="1" x14ac:dyDescent="0.3">
      <c r="A208" s="16" t="s">
        <v>205</v>
      </c>
      <c r="B208" s="17" t="s">
        <v>76</v>
      </c>
      <c r="C208" s="17"/>
      <c r="D208" s="13">
        <f t="shared" ref="D208" si="37">D209</f>
        <v>135000</v>
      </c>
    </row>
    <row r="209" spans="1:4" ht="49.5" customHeight="1" x14ac:dyDescent="0.3">
      <c r="A209" s="18" t="s">
        <v>206</v>
      </c>
      <c r="B209" s="19" t="s">
        <v>77</v>
      </c>
      <c r="C209" s="19"/>
      <c r="D209" s="14">
        <f t="shared" ref="D209" si="38">SUM(D210:D213)</f>
        <v>135000</v>
      </c>
    </row>
    <row r="210" spans="1:4" s="4" customFormat="1" ht="87.75" customHeight="1" x14ac:dyDescent="0.3">
      <c r="A210" s="11" t="s">
        <v>286</v>
      </c>
      <c r="B210" s="12" t="s">
        <v>78</v>
      </c>
      <c r="C210" s="12">
        <v>800</v>
      </c>
      <c r="D210" s="5">
        <v>45000</v>
      </c>
    </row>
    <row r="211" spans="1:4" s="4" customFormat="1" ht="86.25" customHeight="1" x14ac:dyDescent="0.3">
      <c r="A211" s="11" t="s">
        <v>287</v>
      </c>
      <c r="B211" s="12" t="s">
        <v>79</v>
      </c>
      <c r="C211" s="12">
        <v>800</v>
      </c>
      <c r="D211" s="5">
        <v>45000</v>
      </c>
    </row>
    <row r="212" spans="1:4" s="3" customFormat="1" ht="72.75" customHeight="1" x14ac:dyDescent="0.3">
      <c r="A212" s="11" t="s">
        <v>288</v>
      </c>
      <c r="B212" s="12" t="s">
        <v>289</v>
      </c>
      <c r="C212" s="12">
        <v>800</v>
      </c>
      <c r="D212" s="5">
        <v>20000</v>
      </c>
    </row>
    <row r="213" spans="1:4" ht="67.5" customHeight="1" x14ac:dyDescent="0.3">
      <c r="A213" s="11" t="s">
        <v>290</v>
      </c>
      <c r="B213" s="12" t="s">
        <v>291</v>
      </c>
      <c r="C213" s="12">
        <v>800</v>
      </c>
      <c r="D213" s="5">
        <v>25000</v>
      </c>
    </row>
    <row r="214" spans="1:4" ht="56.25" x14ac:dyDescent="0.3">
      <c r="A214" s="16" t="s">
        <v>207</v>
      </c>
      <c r="B214" s="17" t="s">
        <v>80</v>
      </c>
      <c r="C214" s="17"/>
      <c r="D214" s="13">
        <f t="shared" ref="D214" si="39">D215</f>
        <v>545613.5</v>
      </c>
    </row>
    <row r="215" spans="1:4" s="3" customFormat="1" ht="52.5" customHeight="1" x14ac:dyDescent="0.3">
      <c r="A215" s="18" t="s">
        <v>208</v>
      </c>
      <c r="B215" s="19" t="s">
        <v>81</v>
      </c>
      <c r="C215" s="19"/>
      <c r="D215" s="14">
        <f>SUM(D216:D219)</f>
        <v>545613.5</v>
      </c>
    </row>
    <row r="216" spans="1:4" s="4" customFormat="1" ht="93" customHeight="1" x14ac:dyDescent="0.3">
      <c r="A216" s="11" t="s">
        <v>403</v>
      </c>
      <c r="B216" s="12" t="s">
        <v>383</v>
      </c>
      <c r="C216" s="12">
        <v>200</v>
      </c>
      <c r="D216" s="5">
        <v>60000</v>
      </c>
    </row>
    <row r="217" spans="1:4" s="4" customFormat="1" ht="115.5" customHeight="1" x14ac:dyDescent="0.3">
      <c r="A217" s="11" t="s">
        <v>385</v>
      </c>
      <c r="B217" s="12" t="s">
        <v>384</v>
      </c>
      <c r="C217" s="12">
        <v>200</v>
      </c>
      <c r="D217" s="5">
        <v>210000</v>
      </c>
    </row>
    <row r="218" spans="1:4" s="4" customFormat="1" ht="63.75" customHeight="1" x14ac:dyDescent="0.3">
      <c r="A218" s="11" t="s">
        <v>496</v>
      </c>
      <c r="B218" s="12" t="s">
        <v>495</v>
      </c>
      <c r="C218" s="12">
        <v>200</v>
      </c>
      <c r="D218" s="5">
        <v>100000</v>
      </c>
    </row>
    <row r="219" spans="1:4" s="4" customFormat="1" ht="85.5" customHeight="1" x14ac:dyDescent="0.3">
      <c r="A219" s="11" t="s">
        <v>535</v>
      </c>
      <c r="B219" s="12" t="s">
        <v>534</v>
      </c>
      <c r="C219" s="12">
        <v>200</v>
      </c>
      <c r="D219" s="5">
        <f>174968.88+123.71+520.91</f>
        <v>175613.5</v>
      </c>
    </row>
    <row r="220" spans="1:4" s="3" customFormat="1" ht="67.5" customHeight="1" x14ac:dyDescent="0.3">
      <c r="A220" s="16" t="s">
        <v>209</v>
      </c>
      <c r="B220" s="17" t="s">
        <v>82</v>
      </c>
      <c r="C220" s="17"/>
      <c r="D220" s="13">
        <f t="shared" ref="D220" si="40">D221</f>
        <v>254000</v>
      </c>
    </row>
    <row r="221" spans="1:4" ht="33.75" customHeight="1" x14ac:dyDescent="0.3">
      <c r="A221" s="18" t="s">
        <v>210</v>
      </c>
      <c r="B221" s="19" t="s">
        <v>83</v>
      </c>
      <c r="C221" s="19"/>
      <c r="D221" s="14">
        <f t="shared" ref="D221" si="41">SUM(D222:D223)</f>
        <v>254000</v>
      </c>
    </row>
    <row r="222" spans="1:4" ht="118.5" customHeight="1" x14ac:dyDescent="0.3">
      <c r="A222" s="20" t="s">
        <v>408</v>
      </c>
      <c r="B222" s="12" t="s">
        <v>292</v>
      </c>
      <c r="C222" s="12">
        <v>200</v>
      </c>
      <c r="D222" s="5">
        <v>154000</v>
      </c>
    </row>
    <row r="223" spans="1:4" ht="79.5" customHeight="1" x14ac:dyDescent="0.3">
      <c r="A223" s="20" t="s">
        <v>497</v>
      </c>
      <c r="B223" s="12" t="s">
        <v>504</v>
      </c>
      <c r="C223" s="12">
        <v>200</v>
      </c>
      <c r="D223" s="5">
        <v>100000</v>
      </c>
    </row>
    <row r="224" spans="1:4" s="3" customFormat="1" ht="98.25" customHeight="1" x14ac:dyDescent="0.3">
      <c r="A224" s="23" t="s">
        <v>413</v>
      </c>
      <c r="B224" s="17" t="s">
        <v>414</v>
      </c>
      <c r="C224" s="12"/>
      <c r="D224" s="13">
        <f t="shared" ref="D224" si="42">D225</f>
        <v>300000</v>
      </c>
    </row>
    <row r="225" spans="1:4" ht="102.75" customHeight="1" x14ac:dyDescent="0.3">
      <c r="A225" s="21" t="s">
        <v>404</v>
      </c>
      <c r="B225" s="19" t="s">
        <v>415</v>
      </c>
      <c r="C225" s="12"/>
      <c r="D225" s="14">
        <f t="shared" ref="D225" si="43">SUM(D226:D227)</f>
        <v>300000</v>
      </c>
    </row>
    <row r="226" spans="1:4" ht="96.75" customHeight="1" x14ac:dyDescent="0.3">
      <c r="A226" s="11" t="s">
        <v>386</v>
      </c>
      <c r="B226" s="12" t="s">
        <v>416</v>
      </c>
      <c r="C226" s="12">
        <v>200</v>
      </c>
      <c r="D226" s="5">
        <v>200000</v>
      </c>
    </row>
    <row r="227" spans="1:4" ht="75.75" customHeight="1" x14ac:dyDescent="0.3">
      <c r="A227" s="11" t="s">
        <v>387</v>
      </c>
      <c r="B227" s="12" t="s">
        <v>417</v>
      </c>
      <c r="C227" s="12">
        <v>200</v>
      </c>
      <c r="D227" s="5">
        <v>100000</v>
      </c>
    </row>
    <row r="228" spans="1:4" ht="83.25" customHeight="1" x14ac:dyDescent="0.3">
      <c r="A228" s="16" t="s">
        <v>409</v>
      </c>
      <c r="B228" s="17" t="s">
        <v>84</v>
      </c>
      <c r="C228" s="17"/>
      <c r="D228" s="13">
        <f t="shared" ref="D228:D229" si="44">D229</f>
        <v>3000</v>
      </c>
    </row>
    <row r="229" spans="1:4" s="4" customFormat="1" ht="66.75" customHeight="1" x14ac:dyDescent="0.3">
      <c r="A229" s="16" t="s">
        <v>211</v>
      </c>
      <c r="B229" s="17" t="s">
        <v>85</v>
      </c>
      <c r="C229" s="17"/>
      <c r="D229" s="13">
        <f t="shared" si="44"/>
        <v>3000</v>
      </c>
    </row>
    <row r="230" spans="1:4" s="4" customFormat="1" ht="65.25" customHeight="1" x14ac:dyDescent="0.3">
      <c r="A230" s="18" t="s">
        <v>212</v>
      </c>
      <c r="B230" s="19" t="s">
        <v>86</v>
      </c>
      <c r="C230" s="19"/>
      <c r="D230" s="14">
        <f t="shared" ref="D230" si="45">SUM(D231:D231)</f>
        <v>3000</v>
      </c>
    </row>
    <row r="231" spans="1:4" s="3" customFormat="1" ht="96" customHeight="1" x14ac:dyDescent="0.3">
      <c r="A231" s="20" t="s">
        <v>619</v>
      </c>
      <c r="B231" s="12" t="s">
        <v>87</v>
      </c>
      <c r="C231" s="12">
        <v>200</v>
      </c>
      <c r="D231" s="5">
        <v>3000</v>
      </c>
    </row>
    <row r="232" spans="1:4" ht="103.5" customHeight="1" x14ac:dyDescent="0.3">
      <c r="A232" s="16" t="s">
        <v>89</v>
      </c>
      <c r="B232" s="17" t="s">
        <v>88</v>
      </c>
      <c r="C232" s="17"/>
      <c r="D232" s="13">
        <f>D233+D241</f>
        <v>234800</v>
      </c>
    </row>
    <row r="233" spans="1:4" ht="75.75" customHeight="1" x14ac:dyDescent="0.3">
      <c r="A233" s="16" t="s">
        <v>160</v>
      </c>
      <c r="B233" s="17" t="s">
        <v>90</v>
      </c>
      <c r="C233" s="17"/>
      <c r="D233" s="13">
        <f>D234+D237</f>
        <v>80000</v>
      </c>
    </row>
    <row r="234" spans="1:4" ht="61.5" customHeight="1" x14ac:dyDescent="0.3">
      <c r="A234" s="18" t="s">
        <v>92</v>
      </c>
      <c r="B234" s="19" t="s">
        <v>91</v>
      </c>
      <c r="C234" s="19"/>
      <c r="D234" s="14">
        <f>SUM(D235:D236)</f>
        <v>20000</v>
      </c>
    </row>
    <row r="235" spans="1:4" s="4" customFormat="1" ht="79.5" customHeight="1" x14ac:dyDescent="0.3">
      <c r="A235" s="20" t="s">
        <v>582</v>
      </c>
      <c r="B235" s="12" t="s">
        <v>93</v>
      </c>
      <c r="C235" s="12">
        <v>600</v>
      </c>
      <c r="D235" s="5">
        <v>10000</v>
      </c>
    </row>
    <row r="236" spans="1:4" s="4" customFormat="1" ht="75.75" customHeight="1" x14ac:dyDescent="0.3">
      <c r="A236" s="20" t="s">
        <v>293</v>
      </c>
      <c r="B236" s="12" t="s">
        <v>94</v>
      </c>
      <c r="C236" s="12">
        <v>200</v>
      </c>
      <c r="D236" s="5">
        <v>10000</v>
      </c>
    </row>
    <row r="237" spans="1:4" ht="67.5" customHeight="1" x14ac:dyDescent="0.3">
      <c r="A237" s="18" t="s">
        <v>96</v>
      </c>
      <c r="B237" s="19" t="s">
        <v>95</v>
      </c>
      <c r="C237" s="19"/>
      <c r="D237" s="14">
        <f t="shared" ref="D237" si="46">SUM(D238:D240)</f>
        <v>60000</v>
      </c>
    </row>
    <row r="238" spans="1:4" ht="69" customHeight="1" x14ac:dyDescent="0.3">
      <c r="A238" s="20" t="s">
        <v>167</v>
      </c>
      <c r="B238" s="12" t="s">
        <v>97</v>
      </c>
      <c r="C238" s="12">
        <v>200</v>
      </c>
      <c r="D238" s="5">
        <v>30000</v>
      </c>
    </row>
    <row r="239" spans="1:4" ht="71.25" customHeight="1" x14ac:dyDescent="0.3">
      <c r="A239" s="20" t="s">
        <v>158</v>
      </c>
      <c r="B239" s="12" t="s">
        <v>98</v>
      </c>
      <c r="C239" s="12">
        <v>200</v>
      </c>
      <c r="D239" s="5">
        <v>10000</v>
      </c>
    </row>
    <row r="240" spans="1:4" ht="83.25" customHeight="1" x14ac:dyDescent="0.3">
      <c r="A240" s="20" t="s">
        <v>511</v>
      </c>
      <c r="B240" s="12" t="s">
        <v>98</v>
      </c>
      <c r="C240" s="12">
        <v>600</v>
      </c>
      <c r="D240" s="5">
        <v>20000</v>
      </c>
    </row>
    <row r="241" spans="1:4" s="3" customFormat="1" ht="114" customHeight="1" x14ac:dyDescent="0.3">
      <c r="A241" s="16" t="s">
        <v>334</v>
      </c>
      <c r="B241" s="17" t="s">
        <v>99</v>
      </c>
      <c r="C241" s="17"/>
      <c r="D241" s="13">
        <f t="shared" ref="D241:D242" si="47">D242</f>
        <v>154800</v>
      </c>
    </row>
    <row r="242" spans="1:4" ht="53.25" customHeight="1" x14ac:dyDescent="0.3">
      <c r="A242" s="18" t="s">
        <v>335</v>
      </c>
      <c r="B242" s="19" t="s">
        <v>100</v>
      </c>
      <c r="C242" s="19"/>
      <c r="D242" s="14">
        <f t="shared" si="47"/>
        <v>154800</v>
      </c>
    </row>
    <row r="243" spans="1:4" ht="134.25" customHeight="1" x14ac:dyDescent="0.3">
      <c r="A243" s="20" t="s">
        <v>336</v>
      </c>
      <c r="B243" s="12" t="s">
        <v>101</v>
      </c>
      <c r="C243" s="12">
        <v>600</v>
      </c>
      <c r="D243" s="5">
        <v>154800</v>
      </c>
    </row>
    <row r="244" spans="1:4" ht="75" customHeight="1" x14ac:dyDescent="0.3">
      <c r="A244" s="16" t="s">
        <v>213</v>
      </c>
      <c r="B244" s="17" t="s">
        <v>102</v>
      </c>
      <c r="C244" s="17"/>
      <c r="D244" s="13">
        <f>D245+D268+D276+D260+D264</f>
        <v>79870745.790000007</v>
      </c>
    </row>
    <row r="245" spans="1:4" ht="72" customHeight="1" x14ac:dyDescent="0.3">
      <c r="A245" s="16" t="s">
        <v>214</v>
      </c>
      <c r="B245" s="17" t="s">
        <v>103</v>
      </c>
      <c r="C245" s="17"/>
      <c r="D245" s="13">
        <f t="shared" ref="D245" si="48">D246+D248+D252+D257</f>
        <v>59750950.660000004</v>
      </c>
    </row>
    <row r="246" spans="1:4" s="4" customFormat="1" ht="52.5" customHeight="1" x14ac:dyDescent="0.3">
      <c r="A246" s="18" t="s">
        <v>105</v>
      </c>
      <c r="B246" s="19" t="s">
        <v>104</v>
      </c>
      <c r="C246" s="19"/>
      <c r="D246" s="14">
        <f t="shared" ref="D246" si="49">D247</f>
        <v>2008911.79</v>
      </c>
    </row>
    <row r="247" spans="1:4" s="3" customFormat="1" ht="98.25" customHeight="1" x14ac:dyDescent="0.3">
      <c r="A247" s="20" t="s">
        <v>139</v>
      </c>
      <c r="B247" s="12" t="s">
        <v>106</v>
      </c>
      <c r="C247" s="12">
        <v>100</v>
      </c>
      <c r="D247" s="5">
        <v>2008911.79</v>
      </c>
    </row>
    <row r="248" spans="1:4" ht="74.25" customHeight="1" x14ac:dyDescent="0.3">
      <c r="A248" s="18" t="s">
        <v>215</v>
      </c>
      <c r="B248" s="19" t="s">
        <v>107</v>
      </c>
      <c r="C248" s="19"/>
      <c r="D248" s="14">
        <f t="shared" ref="D248" si="50">SUM(D249:D251)</f>
        <v>57068747.310000002</v>
      </c>
    </row>
    <row r="249" spans="1:4" ht="112.5" x14ac:dyDescent="0.3">
      <c r="A249" s="20" t="s">
        <v>216</v>
      </c>
      <c r="B249" s="12" t="s">
        <v>108</v>
      </c>
      <c r="C249" s="12">
        <v>100</v>
      </c>
      <c r="D249" s="5">
        <f>26208104.76+3962821.57+9169234.99+8648413.79+6215944.61+148181.14+46872</f>
        <v>54399572.859999999</v>
      </c>
    </row>
    <row r="250" spans="1:4" s="4" customFormat="1" ht="81.75" customHeight="1" x14ac:dyDescent="0.3">
      <c r="A250" s="20" t="s">
        <v>410</v>
      </c>
      <c r="B250" s="12" t="s">
        <v>108</v>
      </c>
      <c r="C250" s="12">
        <v>200</v>
      </c>
      <c r="D250" s="5">
        <f>1032748.71+147613.57+767006.44+584929.73+38000-7124</f>
        <v>2563174.4500000002</v>
      </c>
    </row>
    <row r="251" spans="1:4" s="3" customFormat="1" ht="56.25" x14ac:dyDescent="0.3">
      <c r="A251" s="20" t="s">
        <v>217</v>
      </c>
      <c r="B251" s="12" t="s">
        <v>108</v>
      </c>
      <c r="C251" s="12">
        <v>800</v>
      </c>
      <c r="D251" s="5">
        <f>104000+2000</f>
        <v>106000</v>
      </c>
    </row>
    <row r="252" spans="1:4" s="4" customFormat="1" ht="56.25" customHeight="1" x14ac:dyDescent="0.3">
      <c r="A252" s="18" t="s">
        <v>218</v>
      </c>
      <c r="B252" s="19" t="s">
        <v>109</v>
      </c>
      <c r="C252" s="19"/>
      <c r="D252" s="14">
        <f>SUM(D253:D256)</f>
        <v>79000</v>
      </c>
    </row>
    <row r="253" spans="1:4" s="4" customFormat="1" ht="93" customHeight="1" x14ac:dyDescent="0.3">
      <c r="A253" s="20" t="s">
        <v>219</v>
      </c>
      <c r="B253" s="12" t="s">
        <v>110</v>
      </c>
      <c r="C253" s="12">
        <v>200</v>
      </c>
      <c r="D253" s="5">
        <v>8000</v>
      </c>
    </row>
    <row r="254" spans="1:4" s="3" customFormat="1" ht="103.5" customHeight="1" x14ac:dyDescent="0.3">
      <c r="A254" s="26" t="s">
        <v>220</v>
      </c>
      <c r="B254" s="12" t="s">
        <v>135</v>
      </c>
      <c r="C254" s="12">
        <v>200</v>
      </c>
      <c r="D254" s="5">
        <f>30000+8000+8000+8000+6500</f>
        <v>60500</v>
      </c>
    </row>
    <row r="255" spans="1:4" ht="102.75" customHeight="1" x14ac:dyDescent="0.3">
      <c r="A255" s="20" t="s">
        <v>221</v>
      </c>
      <c r="B255" s="12" t="s">
        <v>111</v>
      </c>
      <c r="C255" s="12">
        <v>200</v>
      </c>
      <c r="D255" s="5">
        <v>1500</v>
      </c>
    </row>
    <row r="256" spans="1:4" ht="72.75" customHeight="1" x14ac:dyDescent="0.3">
      <c r="A256" s="20" t="s">
        <v>530</v>
      </c>
      <c r="B256" s="12" t="s">
        <v>529</v>
      </c>
      <c r="C256" s="12">
        <v>200</v>
      </c>
      <c r="D256" s="5">
        <v>9000</v>
      </c>
    </row>
    <row r="257" spans="1:5" ht="66" customHeight="1" x14ac:dyDescent="0.3">
      <c r="A257" s="18" t="s">
        <v>113</v>
      </c>
      <c r="B257" s="19" t="s">
        <v>112</v>
      </c>
      <c r="C257" s="19"/>
      <c r="D257" s="14">
        <f>SUM(D258:D263)</f>
        <v>594291.56000000006</v>
      </c>
    </row>
    <row r="258" spans="1:5" ht="74.25" customHeight="1" x14ac:dyDescent="0.3">
      <c r="A258" s="20" t="s">
        <v>165</v>
      </c>
      <c r="B258" s="12" t="s">
        <v>114</v>
      </c>
      <c r="C258" s="12">
        <v>200</v>
      </c>
      <c r="D258" s="5">
        <f>11125.5+444.9</f>
        <v>11570.4</v>
      </c>
    </row>
    <row r="259" spans="1:5" ht="114.75" customHeight="1" x14ac:dyDescent="0.3">
      <c r="A259" s="20" t="s">
        <v>166</v>
      </c>
      <c r="B259" s="12" t="s">
        <v>115</v>
      </c>
      <c r="C259" s="12">
        <v>100</v>
      </c>
      <c r="D259" s="5">
        <f>542309.61+30411.55</f>
        <v>572721.16</v>
      </c>
      <c r="E259" s="30"/>
    </row>
    <row r="260" spans="1:5" ht="130.5" hidden="1" customHeight="1" x14ac:dyDescent="0.3">
      <c r="A260" s="23" t="s">
        <v>505</v>
      </c>
      <c r="B260" s="17" t="s">
        <v>506</v>
      </c>
      <c r="C260" s="12"/>
      <c r="D260" s="13"/>
    </row>
    <row r="261" spans="1:5" ht="98.25" hidden="1" customHeight="1" x14ac:dyDescent="0.3">
      <c r="A261" s="18" t="s">
        <v>507</v>
      </c>
      <c r="B261" s="19" t="s">
        <v>508</v>
      </c>
      <c r="C261" s="12"/>
      <c r="D261" s="14"/>
    </row>
    <row r="262" spans="1:5" ht="110.25" hidden="1" customHeight="1" x14ac:dyDescent="0.3">
      <c r="A262" s="20" t="s">
        <v>509</v>
      </c>
      <c r="B262" s="12" t="s">
        <v>510</v>
      </c>
      <c r="C262" s="12">
        <v>600</v>
      </c>
      <c r="D262" s="5"/>
    </row>
    <row r="263" spans="1:5" ht="92.25" customHeight="1" x14ac:dyDescent="0.3">
      <c r="A263" s="20" t="s">
        <v>536</v>
      </c>
      <c r="B263" s="12" t="s">
        <v>115</v>
      </c>
      <c r="C263" s="12">
        <v>200</v>
      </c>
      <c r="D263" s="5">
        <f>41885.24-31885.24</f>
        <v>9999.9999999999964</v>
      </c>
    </row>
    <row r="264" spans="1:5" ht="107.25" customHeight="1" x14ac:dyDescent="0.3">
      <c r="A264" s="23" t="s">
        <v>505</v>
      </c>
      <c r="B264" s="17" t="s">
        <v>506</v>
      </c>
      <c r="C264" s="12"/>
      <c r="D264" s="13">
        <f>D265</f>
        <v>5975228.1699999999</v>
      </c>
    </row>
    <row r="265" spans="1:5" ht="92.25" customHeight="1" x14ac:dyDescent="0.3">
      <c r="A265" s="18" t="s">
        <v>507</v>
      </c>
      <c r="B265" s="19" t="s">
        <v>508</v>
      </c>
      <c r="C265" s="12"/>
      <c r="D265" s="14">
        <f>SUM(D266:D267)</f>
        <v>5975228.1699999999</v>
      </c>
    </row>
    <row r="266" spans="1:5" ht="92.25" customHeight="1" x14ac:dyDescent="0.3">
      <c r="A266" s="20" t="s">
        <v>607</v>
      </c>
      <c r="B266" s="12" t="s">
        <v>606</v>
      </c>
      <c r="C266" s="12">
        <v>600</v>
      </c>
      <c r="D266" s="5">
        <v>1291906</v>
      </c>
    </row>
    <row r="267" spans="1:5" ht="92.25" customHeight="1" x14ac:dyDescent="0.3">
      <c r="A267" s="20" t="s">
        <v>509</v>
      </c>
      <c r="B267" s="12" t="s">
        <v>510</v>
      </c>
      <c r="C267" s="12">
        <v>600</v>
      </c>
      <c r="D267" s="5">
        <f>4570768.95+93744+18809.22</f>
        <v>4683322.17</v>
      </c>
    </row>
    <row r="268" spans="1:5" ht="66" customHeight="1" x14ac:dyDescent="0.3">
      <c r="A268" s="23" t="s">
        <v>294</v>
      </c>
      <c r="B268" s="17" t="s">
        <v>295</v>
      </c>
      <c r="C268" s="17"/>
      <c r="D268" s="13">
        <f t="shared" ref="D268" si="51">D269+D273</f>
        <v>320404</v>
      </c>
    </row>
    <row r="269" spans="1:5" ht="58.5" customHeight="1" x14ac:dyDescent="0.3">
      <c r="A269" s="21" t="s">
        <v>296</v>
      </c>
      <c r="B269" s="19" t="s">
        <v>297</v>
      </c>
      <c r="C269" s="19"/>
      <c r="D269" s="14">
        <f>SUM(D270:D272)</f>
        <v>120404</v>
      </c>
    </row>
    <row r="270" spans="1:5" s="3" customFormat="1" ht="83.25" customHeight="1" x14ac:dyDescent="0.3">
      <c r="A270" s="11" t="s">
        <v>298</v>
      </c>
      <c r="B270" s="12" t="s">
        <v>299</v>
      </c>
      <c r="C270" s="12">
        <v>200</v>
      </c>
      <c r="D270" s="5">
        <v>40450</v>
      </c>
    </row>
    <row r="271" spans="1:5" ht="94.5" customHeight="1" x14ac:dyDescent="0.3">
      <c r="A271" s="11" t="s">
        <v>300</v>
      </c>
      <c r="B271" s="12" t="s">
        <v>301</v>
      </c>
      <c r="C271" s="12">
        <v>200</v>
      </c>
      <c r="D271" s="5">
        <v>65000</v>
      </c>
    </row>
    <row r="272" spans="1:5" s="3" customFormat="1" ht="81.75" customHeight="1" x14ac:dyDescent="0.3">
      <c r="A272" s="11" t="s">
        <v>302</v>
      </c>
      <c r="B272" s="12" t="s">
        <v>303</v>
      </c>
      <c r="C272" s="12">
        <v>200</v>
      </c>
      <c r="D272" s="5">
        <v>14954</v>
      </c>
    </row>
    <row r="273" spans="1:4" ht="45.75" customHeight="1" x14ac:dyDescent="0.3">
      <c r="A273" s="21" t="s">
        <v>304</v>
      </c>
      <c r="B273" s="19" t="s">
        <v>305</v>
      </c>
      <c r="C273" s="12"/>
      <c r="D273" s="14">
        <f t="shared" ref="D273" si="52">SUM(D274:D275)</f>
        <v>200000</v>
      </c>
    </row>
    <row r="274" spans="1:4" ht="82.5" customHeight="1" x14ac:dyDescent="0.3">
      <c r="A274" s="11" t="s">
        <v>306</v>
      </c>
      <c r="B274" s="12" t="s">
        <v>307</v>
      </c>
      <c r="C274" s="12">
        <v>200</v>
      </c>
      <c r="D274" s="5">
        <v>150000</v>
      </c>
    </row>
    <row r="275" spans="1:4" ht="58.5" customHeight="1" x14ac:dyDescent="0.3">
      <c r="A275" s="11" t="s">
        <v>431</v>
      </c>
      <c r="B275" s="12" t="s">
        <v>430</v>
      </c>
      <c r="C275" s="12">
        <v>200</v>
      </c>
      <c r="D275" s="5">
        <v>50000</v>
      </c>
    </row>
    <row r="276" spans="1:4" ht="95.25" customHeight="1" x14ac:dyDescent="0.3">
      <c r="A276" s="23" t="s">
        <v>446</v>
      </c>
      <c r="B276" s="17" t="s">
        <v>447</v>
      </c>
      <c r="C276" s="17"/>
      <c r="D276" s="13">
        <f t="shared" ref="D276" si="53">D277</f>
        <v>13824162.960000001</v>
      </c>
    </row>
    <row r="277" spans="1:4" ht="51.75" customHeight="1" x14ac:dyDescent="0.3">
      <c r="A277" s="21" t="s">
        <v>448</v>
      </c>
      <c r="B277" s="19" t="s">
        <v>449</v>
      </c>
      <c r="C277" s="19"/>
      <c r="D277" s="14">
        <f>SUM(D278:D280)</f>
        <v>13824162.960000001</v>
      </c>
    </row>
    <row r="278" spans="1:4" ht="117.75" customHeight="1" x14ac:dyDescent="0.3">
      <c r="A278" s="11" t="s">
        <v>450</v>
      </c>
      <c r="B278" s="12" t="s">
        <v>451</v>
      </c>
      <c r="C278" s="12">
        <v>100</v>
      </c>
      <c r="D278" s="5">
        <f>7910990.25+23172.02+679644</f>
        <v>8613806.2699999996</v>
      </c>
    </row>
    <row r="279" spans="1:4" ht="87.75" customHeight="1" x14ac:dyDescent="0.3">
      <c r="A279" s="11" t="s">
        <v>452</v>
      </c>
      <c r="B279" s="12" t="s">
        <v>451</v>
      </c>
      <c r="C279" s="12">
        <v>200</v>
      </c>
      <c r="D279" s="5">
        <f>4911231.36+5522-3000+174719.33</f>
        <v>5088472.6900000004</v>
      </c>
    </row>
    <row r="280" spans="1:4" ht="73.5" customHeight="1" x14ac:dyDescent="0.3">
      <c r="A280" s="11" t="s">
        <v>557</v>
      </c>
      <c r="B280" s="12" t="s">
        <v>451</v>
      </c>
      <c r="C280" s="12">
        <v>800</v>
      </c>
      <c r="D280" s="5">
        <f>127406-5522</f>
        <v>121884</v>
      </c>
    </row>
    <row r="281" spans="1:4" ht="51.75" customHeight="1" x14ac:dyDescent="0.3">
      <c r="A281" s="16" t="s">
        <v>117</v>
      </c>
      <c r="B281" s="17" t="s">
        <v>116</v>
      </c>
      <c r="C281" s="17"/>
      <c r="D281" s="13">
        <f>D282+D287+D291</f>
        <v>119400</v>
      </c>
    </row>
    <row r="282" spans="1:4" ht="51" customHeight="1" x14ac:dyDescent="0.3">
      <c r="A282" s="16" t="s">
        <v>119</v>
      </c>
      <c r="B282" s="17" t="s">
        <v>118</v>
      </c>
      <c r="C282" s="17"/>
      <c r="D282" s="13">
        <f t="shared" ref="D282" si="54">D283</f>
        <v>89400</v>
      </c>
    </row>
    <row r="283" spans="1:4" ht="31.5" customHeight="1" x14ac:dyDescent="0.3">
      <c r="A283" s="18" t="s">
        <v>121</v>
      </c>
      <c r="B283" s="19" t="s">
        <v>120</v>
      </c>
      <c r="C283" s="19"/>
      <c r="D283" s="14">
        <f t="shared" ref="D283" si="55">SUM(D284:D286)</f>
        <v>89400</v>
      </c>
    </row>
    <row r="284" spans="1:4" s="3" customFormat="1" ht="75" x14ac:dyDescent="0.3">
      <c r="A284" s="20" t="s">
        <v>393</v>
      </c>
      <c r="B284" s="12" t="s">
        <v>394</v>
      </c>
      <c r="C284" s="12">
        <v>200</v>
      </c>
      <c r="D284" s="5">
        <v>29400</v>
      </c>
    </row>
    <row r="285" spans="1:4" ht="84" customHeight="1" x14ac:dyDescent="0.3">
      <c r="A285" s="20" t="s">
        <v>395</v>
      </c>
      <c r="B285" s="12" t="s">
        <v>394</v>
      </c>
      <c r="C285" s="12">
        <v>600</v>
      </c>
      <c r="D285" s="5">
        <f>10000+35000</f>
        <v>45000</v>
      </c>
    </row>
    <row r="286" spans="1:4" ht="75" x14ac:dyDescent="0.3">
      <c r="A286" s="20" t="s">
        <v>454</v>
      </c>
      <c r="B286" s="12" t="s">
        <v>455</v>
      </c>
      <c r="C286" s="12">
        <v>200</v>
      </c>
      <c r="D286" s="5">
        <v>15000</v>
      </c>
    </row>
    <row r="287" spans="1:4" s="4" customFormat="1" ht="37.5" x14ac:dyDescent="0.3">
      <c r="A287" s="16" t="s">
        <v>123</v>
      </c>
      <c r="B287" s="17" t="s">
        <v>122</v>
      </c>
      <c r="C287" s="17"/>
      <c r="D287" s="13">
        <f t="shared" ref="D287" si="56">D288</f>
        <v>20000</v>
      </c>
    </row>
    <row r="288" spans="1:4" s="4" customFormat="1" ht="47.25" customHeight="1" x14ac:dyDescent="0.3">
      <c r="A288" s="18" t="s">
        <v>411</v>
      </c>
      <c r="B288" s="19" t="s">
        <v>124</v>
      </c>
      <c r="C288" s="19"/>
      <c r="D288" s="14">
        <f>SUM(D289:D290)</f>
        <v>20000</v>
      </c>
    </row>
    <row r="289" spans="1:4" s="3" customFormat="1" ht="75" customHeight="1" x14ac:dyDescent="0.3">
      <c r="A289" s="20" t="s">
        <v>159</v>
      </c>
      <c r="B289" s="12" t="s">
        <v>125</v>
      </c>
      <c r="C289" s="12">
        <v>200</v>
      </c>
      <c r="D289" s="5">
        <v>10000</v>
      </c>
    </row>
    <row r="290" spans="1:4" ht="75.75" customHeight="1" x14ac:dyDescent="0.3">
      <c r="A290" s="20" t="s">
        <v>552</v>
      </c>
      <c r="B290" s="12" t="s">
        <v>396</v>
      </c>
      <c r="C290" s="12">
        <v>600</v>
      </c>
      <c r="D290" s="5">
        <v>10000</v>
      </c>
    </row>
    <row r="291" spans="1:4" ht="46.5" customHeight="1" x14ac:dyDescent="0.3">
      <c r="A291" s="16" t="s">
        <v>397</v>
      </c>
      <c r="B291" s="17" t="s">
        <v>398</v>
      </c>
      <c r="C291" s="17"/>
      <c r="D291" s="13">
        <f t="shared" ref="D291" si="57">D292</f>
        <v>10000</v>
      </c>
    </row>
    <row r="292" spans="1:4" ht="40.5" customHeight="1" x14ac:dyDescent="0.3">
      <c r="A292" s="18" t="s">
        <v>399</v>
      </c>
      <c r="B292" s="19" t="s">
        <v>400</v>
      </c>
      <c r="C292" s="19"/>
      <c r="D292" s="14">
        <f>SUM(D293:D294)</f>
        <v>10000</v>
      </c>
    </row>
    <row r="293" spans="1:4" ht="78.75" customHeight="1" x14ac:dyDescent="0.3">
      <c r="A293" s="20" t="s">
        <v>401</v>
      </c>
      <c r="B293" s="12" t="s">
        <v>402</v>
      </c>
      <c r="C293" s="12">
        <v>200</v>
      </c>
      <c r="D293" s="5">
        <v>5000</v>
      </c>
    </row>
    <row r="294" spans="1:4" ht="73.5" customHeight="1" x14ac:dyDescent="0.3">
      <c r="A294" s="20" t="s">
        <v>553</v>
      </c>
      <c r="B294" s="12" t="s">
        <v>402</v>
      </c>
      <c r="C294" s="12">
        <v>600</v>
      </c>
      <c r="D294" s="5">
        <v>5000</v>
      </c>
    </row>
    <row r="295" spans="1:4" s="3" customFormat="1" ht="90.75" customHeight="1" x14ac:dyDescent="0.3">
      <c r="A295" s="23" t="s">
        <v>326</v>
      </c>
      <c r="B295" s="17" t="s">
        <v>308</v>
      </c>
      <c r="C295" s="12"/>
      <c r="D295" s="13">
        <f t="shared" ref="D295" si="58">D296</f>
        <v>13500</v>
      </c>
    </row>
    <row r="296" spans="1:4" ht="36.75" customHeight="1" x14ac:dyDescent="0.3">
      <c r="A296" s="16" t="s">
        <v>323</v>
      </c>
      <c r="B296" s="17" t="s">
        <v>309</v>
      </c>
      <c r="C296" s="17"/>
      <c r="D296" s="13">
        <f t="shared" ref="D296" si="59">D297+D299</f>
        <v>13500</v>
      </c>
    </row>
    <row r="297" spans="1:4" ht="54" customHeight="1" x14ac:dyDescent="0.3">
      <c r="A297" s="21" t="s">
        <v>325</v>
      </c>
      <c r="B297" s="19" t="s">
        <v>310</v>
      </c>
      <c r="C297" s="12"/>
      <c r="D297" s="14">
        <f t="shared" ref="D297" si="60">SUM(D298)</f>
        <v>12000</v>
      </c>
    </row>
    <row r="298" spans="1:4" ht="90" customHeight="1" x14ac:dyDescent="0.3">
      <c r="A298" s="11" t="s">
        <v>311</v>
      </c>
      <c r="B298" s="12" t="s">
        <v>312</v>
      </c>
      <c r="C298" s="12">
        <v>200</v>
      </c>
      <c r="D298" s="5">
        <v>12000</v>
      </c>
    </row>
    <row r="299" spans="1:4" ht="154.5" customHeight="1" x14ac:dyDescent="0.3">
      <c r="A299" s="21" t="s">
        <v>313</v>
      </c>
      <c r="B299" s="19" t="s">
        <v>314</v>
      </c>
      <c r="C299" s="12"/>
      <c r="D299" s="14">
        <f t="shared" ref="D299" si="61">D300</f>
        <v>1500</v>
      </c>
    </row>
    <row r="300" spans="1:4" s="4" customFormat="1" ht="102" customHeight="1" x14ac:dyDescent="0.3">
      <c r="A300" s="11" t="s">
        <v>324</v>
      </c>
      <c r="B300" s="12" t="s">
        <v>315</v>
      </c>
      <c r="C300" s="12">
        <v>200</v>
      </c>
      <c r="D300" s="5">
        <v>1500</v>
      </c>
    </row>
    <row r="301" spans="1:4" ht="81" customHeight="1" x14ac:dyDescent="0.3">
      <c r="A301" s="23" t="s">
        <v>337</v>
      </c>
      <c r="B301" s="17" t="s">
        <v>316</v>
      </c>
      <c r="C301" s="12"/>
      <c r="D301" s="13">
        <f t="shared" ref="D301" si="62">D302+D305</f>
        <v>177260</v>
      </c>
    </row>
    <row r="302" spans="1:4" ht="46.5" customHeight="1" x14ac:dyDescent="0.3">
      <c r="A302" s="16" t="s">
        <v>194</v>
      </c>
      <c r="B302" s="17" t="s">
        <v>317</v>
      </c>
      <c r="C302" s="12"/>
      <c r="D302" s="13">
        <f t="shared" ref="D302" si="63">D303</f>
        <v>140000</v>
      </c>
    </row>
    <row r="303" spans="1:4" ht="34.5" customHeight="1" x14ac:dyDescent="0.3">
      <c r="A303" s="18" t="s">
        <v>195</v>
      </c>
      <c r="B303" s="19" t="s">
        <v>318</v>
      </c>
      <c r="C303" s="12"/>
      <c r="D303" s="14">
        <f t="shared" ref="D303" si="64">SUM(D304:D304)</f>
        <v>140000</v>
      </c>
    </row>
    <row r="304" spans="1:4" ht="69" customHeight="1" x14ac:dyDescent="0.3">
      <c r="A304" s="20" t="s">
        <v>378</v>
      </c>
      <c r="B304" s="12" t="s">
        <v>432</v>
      </c>
      <c r="C304" s="12">
        <v>300</v>
      </c>
      <c r="D304" s="5">
        <v>140000</v>
      </c>
    </row>
    <row r="305" spans="1:4" ht="56.25" customHeight="1" x14ac:dyDescent="0.3">
      <c r="A305" s="16" t="s">
        <v>196</v>
      </c>
      <c r="B305" s="17" t="s">
        <v>319</v>
      </c>
      <c r="C305" s="12"/>
      <c r="D305" s="13">
        <f t="shared" ref="D305" si="65">D306</f>
        <v>37260</v>
      </c>
    </row>
    <row r="306" spans="1:4" ht="55.5" customHeight="1" x14ac:dyDescent="0.3">
      <c r="A306" s="18" t="s">
        <v>197</v>
      </c>
      <c r="B306" s="19" t="s">
        <v>320</v>
      </c>
      <c r="C306" s="12"/>
      <c r="D306" s="14">
        <f t="shared" ref="D306" si="66">SUM(D307:D307)</f>
        <v>37260</v>
      </c>
    </row>
    <row r="307" spans="1:4" ht="111.75" customHeight="1" x14ac:dyDescent="0.3">
      <c r="A307" s="11" t="s">
        <v>412</v>
      </c>
      <c r="B307" s="12" t="s">
        <v>433</v>
      </c>
      <c r="C307" s="12">
        <v>300</v>
      </c>
      <c r="D307" s="5">
        <v>37260</v>
      </c>
    </row>
    <row r="308" spans="1:4" ht="75" customHeight="1" x14ac:dyDescent="0.3">
      <c r="A308" s="23" t="s">
        <v>349</v>
      </c>
      <c r="B308" s="17" t="s">
        <v>352</v>
      </c>
      <c r="C308" s="17"/>
      <c r="D308" s="13">
        <f t="shared" ref="D308:D309" si="67">D309</f>
        <v>381210.64</v>
      </c>
    </row>
    <row r="309" spans="1:4" ht="57.75" customHeight="1" x14ac:dyDescent="0.3">
      <c r="A309" s="23" t="s">
        <v>350</v>
      </c>
      <c r="B309" s="17" t="s">
        <v>353</v>
      </c>
      <c r="C309" s="17"/>
      <c r="D309" s="13">
        <f t="shared" si="67"/>
        <v>381210.64</v>
      </c>
    </row>
    <row r="310" spans="1:4" ht="52.5" customHeight="1" x14ac:dyDescent="0.3">
      <c r="A310" s="21" t="s">
        <v>351</v>
      </c>
      <c r="B310" s="19" t="s">
        <v>354</v>
      </c>
      <c r="C310" s="19"/>
      <c r="D310" s="14">
        <f t="shared" ref="D310" si="68">SUM(D311:D313)</f>
        <v>381210.64</v>
      </c>
    </row>
    <row r="311" spans="1:4" ht="71.25" customHeight="1" x14ac:dyDescent="0.3">
      <c r="A311" s="11" t="s">
        <v>357</v>
      </c>
      <c r="B311" s="12" t="s">
        <v>355</v>
      </c>
      <c r="C311" s="12">
        <v>200</v>
      </c>
      <c r="D311" s="5">
        <v>1000</v>
      </c>
    </row>
    <row r="312" spans="1:4" ht="79.5" customHeight="1" x14ac:dyDescent="0.3">
      <c r="A312" s="11" t="s">
        <v>358</v>
      </c>
      <c r="B312" s="12" t="s">
        <v>356</v>
      </c>
      <c r="C312" s="12">
        <v>200</v>
      </c>
      <c r="D312" s="5">
        <f>56000+70000+6000+42400+21000+9000+24500-1689.36</f>
        <v>227210.64</v>
      </c>
    </row>
    <row r="313" spans="1:4" ht="84" customHeight="1" x14ac:dyDescent="0.3">
      <c r="A313" s="11" t="s">
        <v>359</v>
      </c>
      <c r="B313" s="12" t="s">
        <v>356</v>
      </c>
      <c r="C313" s="12">
        <v>600</v>
      </c>
      <c r="D313" s="5">
        <f>18000+90000+45000</f>
        <v>153000</v>
      </c>
    </row>
    <row r="314" spans="1:4" ht="49.5" customHeight="1" x14ac:dyDescent="0.3">
      <c r="A314" s="23" t="s">
        <v>389</v>
      </c>
      <c r="B314" s="17" t="s">
        <v>390</v>
      </c>
      <c r="C314" s="12"/>
      <c r="D314" s="13">
        <f t="shared" ref="D314" si="69">D315</f>
        <v>8264435.7200000007</v>
      </c>
    </row>
    <row r="315" spans="1:4" s="4" customFormat="1" ht="77.25" customHeight="1" x14ac:dyDescent="0.3">
      <c r="A315" s="16" t="s">
        <v>366</v>
      </c>
      <c r="B315" s="17" t="s">
        <v>126</v>
      </c>
      <c r="C315" s="17"/>
      <c r="D315" s="13">
        <f>SUM(D316:D331)</f>
        <v>8264435.7200000007</v>
      </c>
    </row>
    <row r="316" spans="1:4" s="4" customFormat="1" ht="96.75" customHeight="1" x14ac:dyDescent="0.3">
      <c r="A316" s="20" t="s">
        <v>222</v>
      </c>
      <c r="B316" s="12" t="s">
        <v>127</v>
      </c>
      <c r="C316" s="12">
        <v>100</v>
      </c>
      <c r="D316" s="5">
        <v>1924040.25</v>
      </c>
    </row>
    <row r="317" spans="1:4" s="4" customFormat="1" ht="72" customHeight="1" x14ac:dyDescent="0.3">
      <c r="A317" s="20" t="s">
        <v>223</v>
      </c>
      <c r="B317" s="12" t="s">
        <v>127</v>
      </c>
      <c r="C317" s="12">
        <v>200</v>
      </c>
      <c r="D317" s="5">
        <v>396396</v>
      </c>
    </row>
    <row r="318" spans="1:4" ht="54" customHeight="1" x14ac:dyDescent="0.3">
      <c r="A318" s="20" t="s">
        <v>224</v>
      </c>
      <c r="B318" s="12" t="s">
        <v>127</v>
      </c>
      <c r="C318" s="12">
        <v>800</v>
      </c>
      <c r="D318" s="5">
        <v>1000</v>
      </c>
    </row>
    <row r="319" spans="1:4" ht="111" customHeight="1" x14ac:dyDescent="0.3">
      <c r="A319" s="20" t="s">
        <v>225</v>
      </c>
      <c r="B319" s="12" t="s">
        <v>128</v>
      </c>
      <c r="C319" s="12">
        <v>100</v>
      </c>
      <c r="D319" s="5">
        <v>48000</v>
      </c>
    </row>
    <row r="320" spans="1:4" ht="108" customHeight="1" x14ac:dyDescent="0.3">
      <c r="A320" s="20" t="s">
        <v>140</v>
      </c>
      <c r="B320" s="12" t="s">
        <v>129</v>
      </c>
      <c r="C320" s="12">
        <v>100</v>
      </c>
      <c r="D320" s="5">
        <f>1865636.37+26200</f>
        <v>1891836.37</v>
      </c>
    </row>
    <row r="321" spans="1:4" ht="71.25" customHeight="1" x14ac:dyDescent="0.3">
      <c r="A321" s="20" t="s">
        <v>226</v>
      </c>
      <c r="B321" s="12" t="s">
        <v>129</v>
      </c>
      <c r="C321" s="12">
        <v>200</v>
      </c>
      <c r="D321" s="5">
        <f>328112.74</f>
        <v>328112.74</v>
      </c>
    </row>
    <row r="322" spans="1:4" ht="109.5" customHeight="1" x14ac:dyDescent="0.3">
      <c r="A322" s="20" t="s">
        <v>141</v>
      </c>
      <c r="B322" s="12" t="s">
        <v>130</v>
      </c>
      <c r="C322" s="12">
        <v>100</v>
      </c>
      <c r="D322" s="5">
        <v>1280176.79</v>
      </c>
    </row>
    <row r="323" spans="1:4" ht="131.25" x14ac:dyDescent="0.3">
      <c r="A323" s="20" t="s">
        <v>457</v>
      </c>
      <c r="B323" s="12" t="s">
        <v>458</v>
      </c>
      <c r="C323" s="12">
        <v>100</v>
      </c>
      <c r="D323" s="5">
        <f>310948+29065</f>
        <v>340013</v>
      </c>
    </row>
    <row r="324" spans="1:4" ht="90" customHeight="1" x14ac:dyDescent="0.3">
      <c r="A324" s="11" t="s">
        <v>142</v>
      </c>
      <c r="B324" s="12" t="s">
        <v>134</v>
      </c>
      <c r="C324" s="12">
        <v>100</v>
      </c>
      <c r="D324" s="5">
        <v>1824868.57</v>
      </c>
    </row>
    <row r="325" spans="1:4" ht="113.25" customHeight="1" x14ac:dyDescent="0.3">
      <c r="A325" s="11" t="s">
        <v>512</v>
      </c>
      <c r="B325" s="12" t="s">
        <v>513</v>
      </c>
      <c r="C325" s="12">
        <v>200</v>
      </c>
      <c r="D325" s="5">
        <v>3600</v>
      </c>
    </row>
    <row r="326" spans="1:4" ht="129.75" customHeight="1" x14ac:dyDescent="0.3">
      <c r="A326" s="11" t="s">
        <v>459</v>
      </c>
      <c r="B326" s="12" t="s">
        <v>460</v>
      </c>
      <c r="C326" s="12">
        <v>100</v>
      </c>
      <c r="D326" s="5">
        <f>49375+4473</f>
        <v>53848</v>
      </c>
    </row>
    <row r="327" spans="1:4" ht="132" customHeight="1" x14ac:dyDescent="0.3">
      <c r="A327" s="11" t="s">
        <v>461</v>
      </c>
      <c r="B327" s="12" t="s">
        <v>462</v>
      </c>
      <c r="C327" s="12">
        <v>100</v>
      </c>
      <c r="D327" s="5">
        <f>49375+4473</f>
        <v>53848</v>
      </c>
    </row>
    <row r="328" spans="1:4" ht="132" customHeight="1" x14ac:dyDescent="0.3">
      <c r="A328" s="11" t="s">
        <v>463</v>
      </c>
      <c r="B328" s="12" t="s">
        <v>464</v>
      </c>
      <c r="C328" s="12">
        <v>100</v>
      </c>
      <c r="D328" s="5">
        <f>49375+4473</f>
        <v>53848</v>
      </c>
    </row>
    <row r="329" spans="1:4" ht="132" customHeight="1" x14ac:dyDescent="0.3">
      <c r="A329" s="11" t="s">
        <v>465</v>
      </c>
      <c r="B329" s="12" t="s">
        <v>466</v>
      </c>
      <c r="C329" s="12">
        <v>100</v>
      </c>
      <c r="D329" s="5">
        <f>49375+4473</f>
        <v>53848</v>
      </c>
    </row>
    <row r="330" spans="1:4" ht="67.5" customHeight="1" x14ac:dyDescent="0.3">
      <c r="A330" s="11" t="s">
        <v>583</v>
      </c>
      <c r="B330" s="12" t="s">
        <v>584</v>
      </c>
      <c r="C330" s="12">
        <v>300</v>
      </c>
      <c r="D330" s="5">
        <v>5000</v>
      </c>
    </row>
    <row r="331" spans="1:4" ht="66" customHeight="1" x14ac:dyDescent="0.3">
      <c r="A331" s="11" t="s">
        <v>585</v>
      </c>
      <c r="B331" s="12" t="s">
        <v>586</v>
      </c>
      <c r="C331" s="12">
        <v>300</v>
      </c>
      <c r="D331" s="5">
        <v>6000</v>
      </c>
    </row>
    <row r="332" spans="1:4" ht="56.25" customHeight="1" x14ac:dyDescent="0.3">
      <c r="A332" s="23" t="s">
        <v>391</v>
      </c>
      <c r="B332" s="17" t="s">
        <v>392</v>
      </c>
      <c r="C332" s="12"/>
      <c r="D332" s="13">
        <f t="shared" ref="D332" si="70">D333</f>
        <v>3922965.4200000004</v>
      </c>
    </row>
    <row r="333" spans="1:4" ht="77.25" customHeight="1" x14ac:dyDescent="0.3">
      <c r="A333" s="16" t="s">
        <v>328</v>
      </c>
      <c r="B333" s="17" t="s">
        <v>329</v>
      </c>
      <c r="C333" s="17"/>
      <c r="D333" s="13">
        <f>SUM(D334:D351)</f>
        <v>3922965.4200000004</v>
      </c>
    </row>
    <row r="334" spans="1:4" ht="56.25" customHeight="1" x14ac:dyDescent="0.3">
      <c r="A334" s="20" t="s">
        <v>499</v>
      </c>
      <c r="B334" s="12" t="s">
        <v>498</v>
      </c>
      <c r="C334" s="12">
        <v>200</v>
      </c>
      <c r="D334" s="5">
        <f>885771.62+49111.4</f>
        <v>934883.02</v>
      </c>
    </row>
    <row r="335" spans="1:4" ht="35.25" customHeight="1" x14ac:dyDescent="0.3">
      <c r="A335" s="20" t="s">
        <v>532</v>
      </c>
      <c r="B335" s="12" t="s">
        <v>498</v>
      </c>
      <c r="C335" s="12">
        <v>800</v>
      </c>
      <c r="D335" s="5">
        <v>30000</v>
      </c>
    </row>
    <row r="336" spans="1:4" ht="111" customHeight="1" x14ac:dyDescent="0.3">
      <c r="A336" s="33" t="s">
        <v>558</v>
      </c>
      <c r="B336" s="12" t="s">
        <v>559</v>
      </c>
      <c r="C336" s="12">
        <v>500</v>
      </c>
      <c r="D336" s="5">
        <v>1958.8</v>
      </c>
    </row>
    <row r="337" spans="1:4" ht="174.75" customHeight="1" x14ac:dyDescent="0.3">
      <c r="A337" s="33" t="s">
        <v>560</v>
      </c>
      <c r="B337" s="12" t="s">
        <v>561</v>
      </c>
      <c r="C337" s="12">
        <v>500</v>
      </c>
      <c r="D337" s="5">
        <v>8247.2000000000007</v>
      </c>
    </row>
    <row r="338" spans="1:4" ht="73.5" customHeight="1" x14ac:dyDescent="0.3">
      <c r="A338" s="33" t="s">
        <v>562</v>
      </c>
      <c r="B338" s="12" t="s">
        <v>563</v>
      </c>
      <c r="C338" s="12">
        <v>500</v>
      </c>
      <c r="D338" s="5">
        <v>1958.8</v>
      </c>
    </row>
    <row r="339" spans="1:4" ht="93" customHeight="1" x14ac:dyDescent="0.3">
      <c r="A339" s="33" t="s">
        <v>564</v>
      </c>
      <c r="B339" s="12" t="s">
        <v>565</v>
      </c>
      <c r="C339" s="12">
        <v>500</v>
      </c>
      <c r="D339" s="5">
        <v>1958.8</v>
      </c>
    </row>
    <row r="340" spans="1:4" ht="106.5" customHeight="1" x14ac:dyDescent="0.3">
      <c r="A340" s="33" t="s">
        <v>566</v>
      </c>
      <c r="B340" s="12" t="s">
        <v>567</v>
      </c>
      <c r="C340" s="12">
        <v>500</v>
      </c>
      <c r="D340" s="5">
        <v>1958.8</v>
      </c>
    </row>
    <row r="341" spans="1:4" ht="111" customHeight="1" x14ac:dyDescent="0.3">
      <c r="A341" s="33" t="s">
        <v>568</v>
      </c>
      <c r="B341" s="12" t="s">
        <v>569</v>
      </c>
      <c r="C341" s="12">
        <v>500</v>
      </c>
      <c r="D341" s="5">
        <v>1958.8</v>
      </c>
    </row>
    <row r="342" spans="1:4" ht="90" customHeight="1" x14ac:dyDescent="0.3">
      <c r="A342" s="33" t="s">
        <v>570</v>
      </c>
      <c r="B342" s="12" t="s">
        <v>571</v>
      </c>
      <c r="C342" s="12">
        <v>500</v>
      </c>
      <c r="D342" s="5">
        <v>1958.8</v>
      </c>
    </row>
    <row r="343" spans="1:4" ht="110.25" customHeight="1" x14ac:dyDescent="0.3">
      <c r="A343" s="33" t="s">
        <v>609</v>
      </c>
      <c r="B343" s="12" t="s">
        <v>608</v>
      </c>
      <c r="C343" s="12">
        <v>500</v>
      </c>
      <c r="D343" s="5">
        <v>217996.85</v>
      </c>
    </row>
    <row r="344" spans="1:4" ht="130.5" customHeight="1" x14ac:dyDescent="0.3">
      <c r="A344" s="20" t="s">
        <v>533</v>
      </c>
      <c r="B344" s="12" t="s">
        <v>531</v>
      </c>
      <c r="C344" s="12">
        <v>100</v>
      </c>
      <c r="D344" s="5">
        <v>190323.76</v>
      </c>
    </row>
    <row r="345" spans="1:4" ht="109.5" customHeight="1" x14ac:dyDescent="0.3">
      <c r="A345" s="33" t="s">
        <v>587</v>
      </c>
      <c r="B345" s="12" t="s">
        <v>588</v>
      </c>
      <c r="C345" s="12">
        <v>200</v>
      </c>
      <c r="D345" s="5">
        <v>80000</v>
      </c>
    </row>
    <row r="346" spans="1:4" ht="60" customHeight="1" x14ac:dyDescent="0.3">
      <c r="A346" s="33" t="s">
        <v>574</v>
      </c>
      <c r="B346" s="12" t="s">
        <v>575</v>
      </c>
      <c r="C346" s="12">
        <v>200</v>
      </c>
      <c r="D346" s="5">
        <v>36000</v>
      </c>
    </row>
    <row r="347" spans="1:4" ht="87.75" customHeight="1" x14ac:dyDescent="0.3">
      <c r="A347" s="20" t="s">
        <v>468</v>
      </c>
      <c r="B347" s="12" t="s">
        <v>360</v>
      </c>
      <c r="C347" s="12">
        <v>200</v>
      </c>
      <c r="D347" s="5">
        <f>997.44-440.68+2797.29</f>
        <v>3354.05</v>
      </c>
    </row>
    <row r="348" spans="1:4" ht="63.75" customHeight="1" x14ac:dyDescent="0.3">
      <c r="A348" s="20" t="s">
        <v>572</v>
      </c>
      <c r="B348" s="12" t="s">
        <v>573</v>
      </c>
      <c r="C348" s="12">
        <v>300</v>
      </c>
      <c r="D348" s="5">
        <v>2217974.52</v>
      </c>
    </row>
    <row r="349" spans="1:4" ht="111.75" customHeight="1" x14ac:dyDescent="0.3">
      <c r="A349" s="20" t="s">
        <v>443</v>
      </c>
      <c r="B349" s="12" t="s">
        <v>327</v>
      </c>
      <c r="C349" s="12">
        <v>200</v>
      </c>
      <c r="D349" s="5">
        <f>10635.58+70364.42</f>
        <v>81000</v>
      </c>
    </row>
    <row r="350" spans="1:4" ht="149.25" customHeight="1" x14ac:dyDescent="0.3">
      <c r="A350" s="20" t="s">
        <v>611</v>
      </c>
      <c r="B350" s="12" t="s">
        <v>610</v>
      </c>
      <c r="C350" s="12">
        <v>200</v>
      </c>
      <c r="D350" s="5">
        <v>101433.22</v>
      </c>
    </row>
    <row r="351" spans="1:4" ht="57" customHeight="1" x14ac:dyDescent="0.3">
      <c r="A351" s="20" t="s">
        <v>589</v>
      </c>
      <c r="B351" s="12" t="s">
        <v>590</v>
      </c>
      <c r="C351" s="12">
        <v>800</v>
      </c>
      <c r="D351" s="5">
        <v>10000</v>
      </c>
    </row>
    <row r="352" spans="1:4" ht="33.75" customHeight="1" x14ac:dyDescent="0.3">
      <c r="A352" s="27" t="s">
        <v>379</v>
      </c>
      <c r="B352" s="28"/>
      <c r="C352" s="29"/>
      <c r="D352" s="13">
        <f>D16+D100+D155+D186+D207+D228+D232+D244+D281+D295+D301+D308+D315+D333</f>
        <v>483194517.82000011</v>
      </c>
    </row>
    <row r="353" spans="1:4" x14ac:dyDescent="0.3">
      <c r="A353" s="8"/>
      <c r="B353" s="9"/>
      <c r="C353" s="10"/>
      <c r="D353" s="32"/>
    </row>
    <row r="354" spans="1:4" x14ac:dyDescent="0.3">
      <c r="A354" s="6"/>
      <c r="B354" s="6"/>
      <c r="C354" s="7"/>
    </row>
    <row r="355" spans="1:4" s="4" customFormat="1" x14ac:dyDescent="0.3">
      <c r="A355" s="6"/>
      <c r="B355" s="6"/>
      <c r="C355" s="7"/>
    </row>
    <row r="356" spans="1:4" x14ac:dyDescent="0.3">
      <c r="A356" s="6"/>
      <c r="B356" s="6"/>
      <c r="C356" s="7"/>
    </row>
    <row r="357" spans="1:4" x14ac:dyDescent="0.3">
      <c r="A357" s="6"/>
      <c r="B357" s="6"/>
      <c r="C357" s="7"/>
    </row>
    <row r="358" spans="1:4" x14ac:dyDescent="0.3">
      <c r="A358" s="6"/>
      <c r="B358" s="6"/>
      <c r="C358" s="7"/>
    </row>
    <row r="359" spans="1:4" x14ac:dyDescent="0.3">
      <c r="A359" s="6"/>
      <c r="B359" s="6"/>
      <c r="C359" s="7"/>
    </row>
    <row r="360" spans="1:4" x14ac:dyDescent="0.3">
      <c r="A360" s="6"/>
      <c r="B360" s="6"/>
      <c r="C360" s="7"/>
    </row>
    <row r="361" spans="1:4" x14ac:dyDescent="0.3">
      <c r="A361" s="6"/>
      <c r="B361" s="6"/>
      <c r="C361" s="7"/>
    </row>
    <row r="362" spans="1:4" x14ac:dyDescent="0.3">
      <c r="A362" s="6"/>
      <c r="B362" s="6"/>
      <c r="C362" s="7"/>
    </row>
    <row r="363" spans="1:4" x14ac:dyDescent="0.3">
      <c r="A363" s="6"/>
      <c r="B363" s="6"/>
      <c r="C363" s="7"/>
    </row>
    <row r="364" spans="1:4" x14ac:dyDescent="0.3">
      <c r="A364" s="6"/>
      <c r="B364" s="6"/>
      <c r="C364" s="7"/>
    </row>
    <row r="365" spans="1:4" x14ac:dyDescent="0.3">
      <c r="A365" s="6"/>
      <c r="B365" s="6"/>
      <c r="C365" s="7"/>
    </row>
    <row r="366" spans="1:4" x14ac:dyDescent="0.3">
      <c r="A366" s="6"/>
      <c r="B366" s="6"/>
      <c r="C366" s="7"/>
    </row>
    <row r="367" spans="1:4" x14ac:dyDescent="0.3">
      <c r="A367" s="6"/>
      <c r="B367" s="6"/>
      <c r="C367" s="7"/>
    </row>
    <row r="368" spans="1:4" x14ac:dyDescent="0.3">
      <c r="A368" s="6"/>
      <c r="B368" s="6"/>
      <c r="C368" s="7"/>
    </row>
    <row r="369" spans="1:3" x14ac:dyDescent="0.3">
      <c r="A369" s="6"/>
      <c r="B369" s="6"/>
      <c r="C369" s="7"/>
    </row>
    <row r="370" spans="1:3" x14ac:dyDescent="0.3">
      <c r="A370" s="6"/>
      <c r="B370" s="6"/>
      <c r="C370" s="7"/>
    </row>
    <row r="371" spans="1:3" x14ac:dyDescent="0.3">
      <c r="A371" s="6"/>
      <c r="B371" s="6"/>
      <c r="C371" s="7"/>
    </row>
    <row r="372" spans="1:3" x14ac:dyDescent="0.3">
      <c r="A372" s="6"/>
      <c r="B372" s="6"/>
      <c r="C372" s="7"/>
    </row>
    <row r="373" spans="1:3" x14ac:dyDescent="0.3">
      <c r="A373" s="6"/>
      <c r="B373" s="6"/>
      <c r="C373" s="7"/>
    </row>
    <row r="374" spans="1:3" x14ac:dyDescent="0.3">
      <c r="A374" s="6"/>
      <c r="B374" s="6"/>
      <c r="C374" s="7"/>
    </row>
    <row r="375" spans="1:3" x14ac:dyDescent="0.3">
      <c r="A375" s="6"/>
      <c r="B375" s="6"/>
      <c r="C375" s="7"/>
    </row>
    <row r="376" spans="1:3" x14ac:dyDescent="0.3">
      <c r="A376" s="6"/>
      <c r="B376" s="6"/>
      <c r="C376" s="7"/>
    </row>
    <row r="377" spans="1:3" x14ac:dyDescent="0.3">
      <c r="A377" s="6"/>
      <c r="B377" s="6"/>
      <c r="C377" s="7"/>
    </row>
    <row r="378" spans="1:3" x14ac:dyDescent="0.3">
      <c r="A378" s="6"/>
      <c r="B378" s="6"/>
      <c r="C378" s="7"/>
    </row>
    <row r="379" spans="1:3" x14ac:dyDescent="0.3">
      <c r="A379" s="6"/>
      <c r="B379" s="6"/>
      <c r="C379" s="7"/>
    </row>
    <row r="380" spans="1:3" x14ac:dyDescent="0.3">
      <c r="A380" s="6"/>
      <c r="B380" s="6"/>
      <c r="C380" s="7"/>
    </row>
    <row r="381" spans="1:3" x14ac:dyDescent="0.3">
      <c r="A381" s="6"/>
      <c r="B381" s="6"/>
      <c r="C381" s="7"/>
    </row>
    <row r="382" spans="1:3" x14ac:dyDescent="0.3">
      <c r="A382" s="6"/>
      <c r="B382" s="6"/>
      <c r="C382" s="7"/>
    </row>
    <row r="383" spans="1:3" x14ac:dyDescent="0.3">
      <c r="A383" s="6"/>
      <c r="B383" s="6"/>
      <c r="C383" s="7"/>
    </row>
    <row r="384" spans="1:3" x14ac:dyDescent="0.3">
      <c r="A384" s="6"/>
      <c r="B384" s="6"/>
      <c r="C384" s="7"/>
    </row>
    <row r="385" spans="1:3" x14ac:dyDescent="0.3">
      <c r="A385" s="6"/>
      <c r="B385" s="6"/>
      <c r="C385" s="7"/>
    </row>
    <row r="386" spans="1:3" x14ac:dyDescent="0.3">
      <c r="A386" s="6"/>
      <c r="B386" s="6"/>
      <c r="C386" s="7"/>
    </row>
    <row r="387" spans="1:3" x14ac:dyDescent="0.3">
      <c r="A387" s="6"/>
      <c r="B387" s="6"/>
      <c r="C387" s="7"/>
    </row>
    <row r="388" spans="1:3" x14ac:dyDescent="0.3">
      <c r="A388" s="6"/>
      <c r="B388" s="6"/>
      <c r="C388" s="7"/>
    </row>
    <row r="389" spans="1:3" x14ac:dyDescent="0.3">
      <c r="A389" s="6"/>
      <c r="B389" s="6"/>
      <c r="C389" s="7"/>
    </row>
    <row r="390" spans="1:3" x14ac:dyDescent="0.3">
      <c r="A390" s="6"/>
      <c r="B390" s="6"/>
      <c r="C390" s="7"/>
    </row>
    <row r="391" spans="1:3" x14ac:dyDescent="0.3">
      <c r="A391" s="6"/>
      <c r="B391" s="6"/>
      <c r="C391" s="7"/>
    </row>
    <row r="392" spans="1:3" x14ac:dyDescent="0.3">
      <c r="A392" s="6"/>
      <c r="B392" s="6"/>
      <c r="C392" s="7"/>
    </row>
    <row r="393" spans="1:3" x14ac:dyDescent="0.3">
      <c r="A393" s="6"/>
      <c r="B393" s="6"/>
      <c r="C393" s="7"/>
    </row>
    <row r="394" spans="1:3" x14ac:dyDescent="0.3">
      <c r="A394" s="6"/>
      <c r="B394" s="6"/>
      <c r="C394" s="7"/>
    </row>
    <row r="395" spans="1:3" x14ac:dyDescent="0.3">
      <c r="A395" s="6"/>
      <c r="B395" s="6"/>
      <c r="C395" s="7"/>
    </row>
    <row r="396" spans="1:3" x14ac:dyDescent="0.3">
      <c r="A396" s="6"/>
      <c r="B396" s="6"/>
      <c r="C396" s="7"/>
    </row>
    <row r="397" spans="1:3" x14ac:dyDescent="0.3">
      <c r="A397" s="6"/>
      <c r="B397" s="6"/>
      <c r="C397" s="7"/>
    </row>
    <row r="398" spans="1:3" x14ac:dyDescent="0.3">
      <c r="A398" s="6"/>
      <c r="B398" s="6"/>
      <c r="C398" s="7"/>
    </row>
    <row r="399" spans="1:3" x14ac:dyDescent="0.3">
      <c r="A399" s="6"/>
      <c r="B399" s="6"/>
      <c r="C399" s="7"/>
    </row>
    <row r="400" spans="1:3" x14ac:dyDescent="0.3">
      <c r="A400" s="6"/>
      <c r="B400" s="6"/>
      <c r="C400" s="7"/>
    </row>
    <row r="401" spans="1:3" x14ac:dyDescent="0.3">
      <c r="A401" s="6"/>
      <c r="B401" s="6"/>
      <c r="C401" s="7"/>
    </row>
    <row r="402" spans="1:3" x14ac:dyDescent="0.3">
      <c r="A402" s="6"/>
      <c r="B402" s="6"/>
      <c r="C402" s="7"/>
    </row>
    <row r="403" spans="1:3" x14ac:dyDescent="0.3">
      <c r="A403" s="6"/>
      <c r="B403" s="6"/>
      <c r="C403" s="7"/>
    </row>
    <row r="404" spans="1:3" x14ac:dyDescent="0.3">
      <c r="A404" s="6"/>
      <c r="B404" s="6"/>
      <c r="C404" s="7"/>
    </row>
    <row r="405" spans="1:3" x14ac:dyDescent="0.3">
      <c r="A405" s="6"/>
      <c r="B405" s="6"/>
      <c r="C405" s="7"/>
    </row>
    <row r="406" spans="1:3" x14ac:dyDescent="0.3">
      <c r="A406" s="6"/>
      <c r="B406" s="6"/>
      <c r="C406" s="7"/>
    </row>
    <row r="407" spans="1:3" x14ac:dyDescent="0.3">
      <c r="A407" s="6"/>
      <c r="B407" s="6"/>
      <c r="C407" s="7"/>
    </row>
    <row r="408" spans="1:3" x14ac:dyDescent="0.3">
      <c r="A408" s="6"/>
      <c r="B408" s="6"/>
      <c r="C408" s="7"/>
    </row>
    <row r="409" spans="1:3" x14ac:dyDescent="0.3">
      <c r="A409" s="6"/>
      <c r="B409" s="6"/>
      <c r="C409" s="7"/>
    </row>
    <row r="410" spans="1:3" x14ac:dyDescent="0.3">
      <c r="A410" s="6"/>
      <c r="B410" s="6"/>
      <c r="C410" s="7"/>
    </row>
    <row r="411" spans="1:3" x14ac:dyDescent="0.3">
      <c r="A411" s="6"/>
      <c r="B411" s="6"/>
      <c r="C411" s="7"/>
    </row>
    <row r="412" spans="1:3" x14ac:dyDescent="0.3">
      <c r="A412" s="6"/>
      <c r="B412" s="6"/>
      <c r="C412" s="7"/>
    </row>
    <row r="413" spans="1:3" x14ac:dyDescent="0.3">
      <c r="A413" s="6"/>
      <c r="B413" s="6"/>
      <c r="C413" s="7"/>
    </row>
    <row r="414" spans="1:3" x14ac:dyDescent="0.3">
      <c r="A414" s="6"/>
      <c r="B414" s="6"/>
      <c r="C414" s="7"/>
    </row>
    <row r="415" spans="1:3" x14ac:dyDescent="0.3">
      <c r="A415" s="6"/>
      <c r="B415" s="6"/>
      <c r="C415" s="7"/>
    </row>
    <row r="416" spans="1:3"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sheetData>
  <mergeCells count="14">
    <mergeCell ref="D13:D14"/>
    <mergeCell ref="A11:D11"/>
    <mergeCell ref="A12:C12"/>
    <mergeCell ref="A13:A14"/>
    <mergeCell ref="B13:B14"/>
    <mergeCell ref="C13:C14"/>
    <mergeCell ref="B6:D6"/>
    <mergeCell ref="B7:D7"/>
    <mergeCell ref="B8:D8"/>
    <mergeCell ref="B1:D1"/>
    <mergeCell ref="B2:D2"/>
    <mergeCell ref="B3:D3"/>
    <mergeCell ref="B4:D4"/>
    <mergeCell ref="B5:D5"/>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2023-12-22T11:03:16Z</dcterms:modified>
</cp:coreProperties>
</file>