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616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1'!$15:$15</definedName>
  </definedNames>
  <calcPr fullCalcOnLoad="1"/>
</workbook>
</file>

<file path=xl/sharedStrings.xml><?xml version="1.0" encoding="utf-8"?>
<sst xmlns="http://schemas.openxmlformats.org/spreadsheetml/2006/main" count="525" uniqueCount="440">
  <si>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</si>
  <si>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</si>
  <si>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</si>
  <si>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</si>
  <si>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</si>
  <si>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</si>
  <si>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</si>
  <si>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</si>
  <si>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</si>
  <si>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</si>
  <si>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</si>
  <si>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</si>
  <si>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</si>
  <si>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</si>
  <si>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</si>
  <si>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</si>
  <si>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</si>
  <si>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</si>
  <si>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</si>
  <si>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</si>
  <si>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>000 1 08 00000 00 0000 000</t>
  </si>
  <si>
    <t>182 1 08 03010 01 0000 110</t>
  </si>
  <si>
    <t>000 1 11 00000 00 0000 000</t>
  </si>
  <si>
    <t>000 1 11 05000 00 0000 120</t>
  </si>
  <si>
    <t>041 1 11 05035 05 0000 120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</si>
  <si>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</si>
  <si>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</si>
  <si>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</si>
  <si>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</si>
  <si>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</si>
  <si>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</si>
  <si>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</si>
  <si>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</si>
  <si>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</si>
  <si>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</si>
  <si>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</si>
  <si>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</si>
  <si>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</si>
  <si>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</si>
  <si>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</si>
  <si>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</si>
  <si>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</si>
  <si>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</si>
  <si>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</si>
  <si>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</si>
  <si>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</si>
  <si>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к решению Совета Южского</t>
  </si>
  <si>
    <t>муниципального района</t>
  </si>
  <si>
    <t>000 1 03 00000 00 0000 000</t>
  </si>
  <si>
    <t>000 1 03 02000 01 0000 110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</si>
  <si>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</si>
  <si>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</si>
  <si>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</si>
  <si>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</si>
  <si>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</si>
  <si>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</si>
  <si>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</si>
  <si>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</si>
  <si>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</si>
  <si>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</si>
  <si>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</si>
  <si>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</si>
  <si>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</si>
  <si>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</si>
  <si>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</si>
  <si>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000 1 08 03000 01 0000 110</t>
  </si>
  <si>
    <t>000 1 05 02010 02 0000 110</t>
  </si>
  <si>
    <t>000 1 08 03010 01 0000 110</t>
  </si>
  <si>
    <t>000 1 11 05025 05 0000 120</t>
  </si>
  <si>
    <t>000 1 11 05035 05 0000 120</t>
  </si>
  <si>
    <t>000 1 12 01010 01 0000 120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</si>
  <si>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</si>
  <si>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</si>
  <si>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</si>
  <si>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</si>
  <si>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</si>
  <si>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</si>
  <si>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</si>
  <si>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</si>
  <si>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</si>
  <si>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</si>
  <si>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</si>
  <si>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</si>
  <si>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</si>
  <si>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</si>
  <si>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</si>
  <si>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</si>
  <si>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</si>
  <si>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</si>
  <si>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</si>
  <si>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</si>
  <si>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</si>
  <si>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</si>
  <si>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</si>
  <si>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</si>
  <si>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</si>
  <si>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</si>
  <si>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</si>
  <si>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</si>
  <si>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</si>
  <si>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</si>
  <si>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</si>
  <si>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</si>
  <si>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</si>
  <si>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</si>
  <si>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</si>
  <si>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</si>
  <si>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</si>
  <si>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</si>
  <si>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</si>
  <si>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</si>
  <si>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</si>
  <si>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</si>
  <si>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</si>
  <si>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</si>
  <si>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</si>
  <si>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</si>
  <si>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</si>
  <si>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</si>
  <si>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</si>
  <si>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</si>
  <si>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</si>
  <si>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</si>
  <si>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</si>
  <si>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</si>
  <si>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</si>
  <si>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>000 1 12 01041 01 0000 120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</si>
  <si>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</si>
  <si>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</si>
  <si>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</si>
  <si>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</si>
  <si>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</si>
  <si>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</si>
  <si>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</si>
  <si>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</si>
  <si>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</si>
  <si>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000 1 12 01042 01 0000 120
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</si>
  <si>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</si>
  <si>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</si>
  <si>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035 1 16 07090 05 0000 140</t>
  </si>
  <si>
    <t>000 1 16 01193 01 0000 140</t>
  </si>
  <si>
    <t xml:space="preserve">000 1 16 01000 01 0000 140
</t>
  </si>
  <si>
    <t xml:space="preserve">000 1 16 01190 01 0000 140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</si>
  <si>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</si>
  <si>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</si>
  <si>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</si>
  <si>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</si>
  <si>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</si>
  <si>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</si>
  <si>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</si>
  <si>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</si>
  <si>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</si>
  <si>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</si>
  <si>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</si>
  <si>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</si>
  <si>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</si>
  <si>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</si>
  <si>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</si>
  <si>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</si>
  <si>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</si>
  <si>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</si>
  <si>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</si>
  <si>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</si>
  <si>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</si>
  <si>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</si>
  <si>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</si>
  <si>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</si>
  <si>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</si>
  <si>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</si>
  <si>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</si>
  <si>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</si>
  <si>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</si>
  <si>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</si>
  <si>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</si>
  <si>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</si>
  <si>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</si>
  <si>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</si>
  <si>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</si>
  <si>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</si>
  <si>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</si>
  <si>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</si>
  <si>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</si>
  <si>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</si>
  <si>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</si>
  <si>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</si>
  <si>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</si>
  <si>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</si>
  <si>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</si>
  <si>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</si>
  <si>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</si>
  <si>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</si>
  <si>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</si>
  <si>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</si>
  <si>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</si>
  <si>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</si>
  <si>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</si>
  <si>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</si>
  <si>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</si>
  <si>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</si>
  <si>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</si>
  <si>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</si>
  <si>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</si>
  <si>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</si>
  <si>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</si>
  <si>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</si>
  <si>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</si>
  <si>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</si>
  <si>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</si>
  <si>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</si>
  <si>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</si>
  <si>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</si>
  <si>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</si>
  <si>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</si>
  <si>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</si>
  <si>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</si>
  <si>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</si>
  <si>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</si>
  <si>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</si>
  <si>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000 2 02 25169 05 0000 150</t>
  </si>
  <si>
    <t>039 2 02 25169 05 0000 150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</si>
  <si>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</si>
  <si>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</si>
  <si>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</si>
  <si>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</si>
  <si>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</si>
  <si>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035 1 13 02995 05 0000 130</t>
  </si>
  <si>
    <t xml:space="preserve">000 2 02 25511 00 0000 150
</t>
  </si>
  <si>
    <t xml:space="preserve">Субсидии бюджетам на проведение комплексных кадастровых работ
</t>
  </si>
  <si>
    <t xml:space="preserve">000 2 02 25511 05 0000 150
</t>
  </si>
  <si>
    <t xml:space="preserve">Субсидии бюджетам муниципальных районов на проведение комплексных кадастровых работ
</t>
  </si>
  <si>
    <t xml:space="preserve">041 2 02 25511 05 0000 150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</si>
  <si>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</si>
  <si>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</si>
  <si>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</si>
  <si>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</si>
  <si>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</si>
  <si>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</si>
  <si>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</si>
  <si>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</si>
  <si>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</si>
  <si>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</si>
  <si>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</si>
  <si>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</si>
  <si>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 xml:space="preserve">000 2 02 25169 00 0000 150
</t>
  </si>
  <si>
    <t xml:space="preserve"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
</t>
  </si>
  <si>
    <t>000 2 02 20077 05 0000 150</t>
  </si>
  <si>
    <t>044 2 02 20077 05 0000 150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</si>
  <si>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</si>
  <si>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</si>
  <si>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</si>
  <si>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000 2 02 25255 00 0000 150</t>
  </si>
  <si>
    <t>000 2 02 25255 05 0000 150</t>
  </si>
  <si>
    <t>039 2 02 25255 05 0000 150</t>
  </si>
  <si>
    <t xml:space="preserve">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</si>
  <si>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</si>
  <si>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</si>
  <si>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</si>
  <si>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</si>
  <si>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</si>
  <si>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035 1 16 10123 01 0051 140</t>
  </si>
  <si>
    <t>000 1 16 10123 01 0051 140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</si>
  <si>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</si>
  <si>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</si>
  <si>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</si>
  <si>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</si>
  <si>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</si>
  <si>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</si>
  <si>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</si>
  <si>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</si>
  <si>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000 1 05 02020 02 0000 110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</si>
  <si>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</si>
  <si>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182 1 05 02020 02 0000 110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</si>
  <si>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</si>
  <si>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</si>
  <si>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</si>
  <si>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</si>
  <si>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</si>
  <si>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</si>
  <si>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</si>
  <si>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</si>
  <si>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</si>
  <si>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</si>
  <si>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</si>
  <si>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</si>
  <si>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000 1 16 01080 01 0000 140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</si>
  <si>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</si>
  <si>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000 1 16 01083 01 0000 140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</si>
  <si>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</si>
  <si>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042 1 16 01083 01 0000 140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</si>
  <si>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</si>
  <si>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</si>
  <si>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</si>
  <si>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</si>
  <si>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</si>
  <si>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</si>
  <si>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</si>
  <si>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</si>
  <si>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</si>
  <si>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042 1 16 01153 01 0000 140
</t>
  </si>
  <si>
    <t xml:space="preserve">000 1 16 01180 01 0000 140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</si>
  <si>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
</t>
  </si>
  <si>
    <t xml:space="preserve">000 1 16 01183 01 0000 140
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</si>
  <si>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
</t>
  </si>
  <si>
    <t xml:space="preserve">042 1 16 01183 01 0000 140
</t>
  </si>
  <si>
    <t xml:space="preserve">000 1 16 01200 01 0000 140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</si>
  <si>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</si>
  <si>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000 1 16 01203 01 0000 140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</si>
  <si>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</si>
  <si>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023 1 16 01203 01 0000 140
</t>
  </si>
  <si>
    <t xml:space="preserve">042 1 16 01203 01 0000 140
</t>
  </si>
  <si>
    <t>188 1 16 10123 01 0051 140</t>
  </si>
  <si>
    <t>322 1 16 10123 01 0051 140</t>
  </si>
  <si>
    <t>415 1 16 10123 01 0051 140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</si>
  <si>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</si>
  <si>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</si>
  <si>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</si>
  <si>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</si>
  <si>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000 1 16 01050 01 0000 140</t>
  </si>
  <si>
    <t>000 1 16 01053 01 0000 140</t>
  </si>
  <si>
    <t>023 1 16 01053 01 0000 140</t>
  </si>
  <si>
    <t>042 1 16 01053 01 0000 140</t>
  </si>
  <si>
    <t>042 1 16 01193 01 0000 140</t>
  </si>
  <si>
    <t>000 2 02 20216 05 0000 150</t>
  </si>
  <si>
    <t xml:space="preserve">044 2 02 20216 05 0000 150 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</si>
  <si>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</si>
  <si>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</si>
  <si>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</si>
  <si>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</si>
  <si>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</si>
  <si>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</si>
  <si>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</si>
  <si>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ЗАДОЛЖЕННОСТЬ И ПЕРЕРАСЧЕТЫ ПО ОТМЕНЕННЫМ НАЛОГАМ, СБОРАМ И ИНЫМ ОБЯЗАТЕЛЬНЫМ ПЛАТЕЖАМ
</t>
  </si>
  <si>
    <t>000 1 09 00000 00 0000 000</t>
  </si>
  <si>
    <t xml:space="preserve">000 1 09 01000 00 0000 110
</t>
  </si>
  <si>
    <t xml:space="preserve">Налог на прибыль организаций, зачислявшийся до 1 января 2005 года в местные бюджеты
</t>
  </si>
  <si>
    <t xml:space="preserve">000 1 09 01030 05 0000 110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</si>
  <si>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</si>
  <si>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182 1 09 01030 05 0000 110
</t>
  </si>
  <si>
    <t xml:space="preserve">000 1 09 04000 00 0000 110
</t>
  </si>
  <si>
    <t xml:space="preserve">Налоги на имущество
</t>
  </si>
  <si>
    <t xml:space="preserve">000 1 09 04010 02 0000 110
</t>
  </si>
  <si>
    <t xml:space="preserve">Налог на имущество предприятий
</t>
  </si>
  <si>
    <t xml:space="preserve">182 1 09 04010 02 0000 110
</t>
  </si>
  <si>
    <t xml:space="preserve">000 1 09 06000 02 0000 110
</t>
  </si>
  <si>
    <t xml:space="preserve">Прочие налоги и сборы (по отмененным налогам и сборам субъектов Российской Федерации)
</t>
  </si>
  <si>
    <t xml:space="preserve">000 1 09 06010 02 0000 110
</t>
  </si>
  <si>
    <t xml:space="preserve">Налог с продаж
</t>
  </si>
  <si>
    <t xml:space="preserve">182 1 09 06010 02 0000 110
</t>
  </si>
  <si>
    <t xml:space="preserve">000 1 09 07000 00 0000 110
</t>
  </si>
  <si>
    <t xml:space="preserve">Прочие налоги и сборы (по отмененным местным налогам и сборам)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</si>
  <si>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</si>
  <si>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</si>
  <si>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</si>
  <si>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</si>
  <si>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</si>
  <si>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 xml:space="preserve">000 2 02 45303 00 0000 150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</si>
  <si>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</si>
  <si>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000 2 02 45303 05 0000 150
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</si>
  <si>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</si>
  <si>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039 2 02 45303 05 0000 150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</si>
  <si>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</si>
  <si>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</si>
  <si>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
</t>
  </si>
  <si>
    <t>039 2 02 25304 05 0000 150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</si>
  <si>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</si>
  <si>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</si>
  <si>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</si>
  <si>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000 2 02 25304 05 0000 150
</t>
  </si>
  <si>
    <t xml:space="preserve">000 1 16 01170 01 0000 140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</si>
  <si>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</si>
  <si>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</si>
  <si>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</si>
  <si>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042 1 16 01173 01 0000 140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</si>
  <si>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</si>
  <si>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048 1 12 01010 01 6000 120</t>
  </si>
  <si>
    <t>000 1 12 01010 01 6000 120</t>
  </si>
  <si>
    <t>000 1 12 01041 01 6000 120</t>
  </si>
  <si>
    <t>048 1 12 01041 01 6000 120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</si>
  <si>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</si>
  <si>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</si>
  <si>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000 1 12 01042 01 6000 120</t>
  </si>
  <si>
    <t xml:space="preserve">048 1 12 01042 01 6000 120
</t>
  </si>
  <si>
    <t>039 1 13 02995 05 0000 130</t>
  </si>
  <si>
    <t>000 1 16 01074 01 0000 140</t>
  </si>
  <si>
    <t>035 1 16 01074 01 0000 140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</si>
  <si>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</si>
  <si>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</si>
  <si>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000 1 16 07010 00 0000 140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</si>
  <si>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</si>
  <si>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</si>
  <si>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</si>
  <si>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</si>
  <si>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</si>
  <si>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</si>
  <si>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</si>
  <si>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>035 2 02 49999 05 0000 150</t>
  </si>
  <si>
    <t>Приложение № 1</t>
  </si>
  <si>
    <t>"Об утверждении</t>
  </si>
  <si>
    <t>отчета об исполнении бюджета</t>
  </si>
  <si>
    <t>Южского муниципального района</t>
  </si>
  <si>
    <t>за 2020 год"</t>
  </si>
  <si>
    <t>от _________________ № _____</t>
  </si>
  <si>
    <t xml:space="preserve">Доходы бюджета Южского муниципального района по кодам классификации доходов бюджетов за 2020 год </t>
  </si>
  <si>
    <t>Исполнено за 2020 год (руб.)</t>
  </si>
  <si>
    <t>Процент исполнения (%)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</si>
  <si>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</si>
  <si>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</si>
  <si>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000 1 16 01133 01 0000 140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</si>
  <si>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</si>
  <si>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042 1 16 01133 01 0000 140
</t>
  </si>
  <si>
    <t>Утверждено на год</t>
  </si>
  <si>
    <t>Решением Совета Южского муниципального района от 20.12.2019 № 125 "О бюджете Южского муниципального района на 2020 год и на плановый период 2021 и 2022 годов" с учетом изменений на отчетную дату (руб.)</t>
  </si>
  <si>
    <t>Решением Совета Южского муниципального района от 20.12.2019 № 125 "О бюджете Южского муниципального района на 2020 год и на плановый период 2021 и 2022 годов" (руб.)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</si>
  <si>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</si>
  <si>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</si>
  <si>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</si>
  <si>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</si>
  <si>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041 1 08 07150 01 0000 110</t>
  </si>
  <si>
    <t>000 1 12 01030 01 0000 120</t>
  </si>
  <si>
    <t>Плата за сбросы загрязняющих веществ в водные объекты</t>
  </si>
  <si>
    <t>048 1 12 01030 01 0000 120</t>
  </si>
  <si>
    <t xml:space="preserve">000 1 16 01060 01 0000 140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</si>
  <si>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</si>
  <si>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000 1 16 01063 01 0000 140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</si>
  <si>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</si>
  <si>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188 1 16 01063 01 0000 140</t>
  </si>
  <si>
    <t xml:space="preserve">000 1 16 01100 01 0000 140
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</si>
  <si>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</si>
  <si>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188 1 16 01193 01 0000 140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</si>
  <si>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</si>
  <si>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321 1 16 01193 01 0000 140</t>
  </si>
  <si>
    <t>041 1 16 07090 05 0000 140</t>
  </si>
  <si>
    <t xml:space="preserve">000 1 16 10030 05 0000 140
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</si>
  <si>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</si>
  <si>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000 1 16 10032 05 0000 140
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</si>
  <si>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</si>
  <si>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188 1 16 10032 05 0000 140</t>
  </si>
  <si>
    <t>048 1 12 01041 01 0000 120</t>
  </si>
  <si>
    <t xml:space="preserve">048 1 12 01042 01 0000 120
</t>
  </si>
  <si>
    <t>048 1 12 01010 01 0000 120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</si>
</sst>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_₽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/>
    </xf>
    <xf numFmtId="180" fontId="45" fillId="33" borderId="10" xfId="0" applyNumberFormat="1" applyFont="1" applyFill="1" applyBorder="1" applyAlignment="1">
      <alignment horizontal="center" vertical="center" wrapText="1"/>
    </xf>
    <xf numFmtId="180" fontId="3" fillId="33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46" fillId="33" borderId="15" xfId="0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11" fontId="2" fillId="33" borderId="10" xfId="0" applyNumberFormat="1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1"/>
  <sheetViews>
    <sheetView tabSelected="1" zoomScalePageLayoutView="0" workbookViewId="0" topLeftCell="A133">
      <selection activeCell="A136" sqref="A136"/>
    </sheetView>
  </sheetViews>
  <sheetFormatPr defaultColWidth="9.125" defaultRowHeight="12.75"/>
  <cols>
    <col min="1" max="1" width="32.875" style="2" customWidth="1"/>
    <col min="2" max="2" width="48.50390625" style="3" customWidth="1"/>
    <col min="3" max="3" width="24.125" style="3" customWidth="1"/>
    <col min="4" max="4" width="30.875" style="3" customWidth="1"/>
    <col min="5" max="5" width="19.50390625" style="5" customWidth="1"/>
    <col min="6" max="6" width="20.00390625" style="3" customWidth="1"/>
    <col min="7" max="7" width="15.125" style="3" bestFit="1" customWidth="1"/>
    <col min="8" max="8" width="14.625" style="3" customWidth="1"/>
    <col min="9" max="9" width="14.125" style="3" customWidth="1"/>
    <col min="10" max="16384" width="9.125" style="3" customWidth="1"/>
  </cols>
  <sheetData>
    <row r="1" spans="1:6" ht="18">
      <c r="A1" s="25"/>
      <c r="B1" s="26"/>
      <c r="C1" s="26"/>
      <c r="D1" s="51" t="s">
        <v>396</v>
      </c>
      <c r="E1" s="51"/>
      <c r="F1" s="51"/>
    </row>
    <row r="2" spans="1:6" ht="18">
      <c r="A2" s="25"/>
      <c r="B2" s="26"/>
      <c r="C2" s="26"/>
      <c r="D2" s="51" t="s">
        <v>46</v>
      </c>
      <c r="E2" s="51"/>
      <c r="F2" s="51"/>
    </row>
    <row r="3" spans="1:6" ht="18">
      <c r="A3" s="25"/>
      <c r="B3" s="26"/>
      <c r="C3" s="26"/>
      <c r="D3" s="51" t="s">
        <v>47</v>
      </c>
      <c r="E3" s="51"/>
      <c r="F3" s="51"/>
    </row>
    <row r="4" spans="1:6" ht="18">
      <c r="A4" s="25"/>
      <c r="B4" s="26"/>
      <c r="C4" s="26"/>
      <c r="D4" s="51" t="s">
        <v>397</v>
      </c>
      <c r="E4" s="51"/>
      <c r="F4" s="51"/>
    </row>
    <row r="5" spans="1:6" ht="18">
      <c r="A5" s="25"/>
      <c r="B5" s="26"/>
      <c r="C5" s="26"/>
      <c r="D5" s="51" t="s">
        <v>398</v>
      </c>
      <c r="E5" s="51"/>
      <c r="F5" s="51"/>
    </row>
    <row r="6" spans="1:6" ht="18">
      <c r="A6" s="25"/>
      <c r="B6" s="26"/>
      <c r="C6" s="26"/>
      <c r="D6" s="51" t="s">
        <v>399</v>
      </c>
      <c r="E6" s="51"/>
      <c r="F6" s="51"/>
    </row>
    <row r="7" spans="1:6" ht="18">
      <c r="A7" s="25"/>
      <c r="B7" s="26"/>
      <c r="C7" s="26"/>
      <c r="D7" s="51" t="s">
        <v>400</v>
      </c>
      <c r="E7" s="51"/>
      <c r="F7" s="51"/>
    </row>
    <row r="8" spans="1:6" ht="18">
      <c r="A8" s="25"/>
      <c r="B8" s="26"/>
      <c r="C8" s="26"/>
      <c r="D8" s="51" t="s">
        <v>401</v>
      </c>
      <c r="E8" s="51"/>
      <c r="F8" s="51"/>
    </row>
    <row r="9" spans="1:6" ht="18">
      <c r="A9" s="25"/>
      <c r="B9" s="26"/>
      <c r="C9" s="26"/>
      <c r="D9" s="28"/>
      <c r="E9" s="27"/>
      <c r="F9" s="26"/>
    </row>
    <row r="10" spans="1:6" ht="18">
      <c r="A10" s="25"/>
      <c r="B10" s="26"/>
      <c r="C10" s="26"/>
      <c r="D10" s="26"/>
      <c r="E10" s="27"/>
      <c r="F10" s="26"/>
    </row>
    <row r="11" spans="1:6" ht="21" customHeight="1">
      <c r="A11" s="47" t="s">
        <v>402</v>
      </c>
      <c r="B11" s="47"/>
      <c r="C11" s="47"/>
      <c r="D11" s="47"/>
      <c r="E11" s="47"/>
      <c r="F11" s="47"/>
    </row>
    <row r="12" spans="1:6" ht="18" customHeight="1">
      <c r="A12" s="48"/>
      <c r="B12" s="48"/>
      <c r="C12" s="48"/>
      <c r="D12" s="48"/>
      <c r="E12" s="48"/>
      <c r="F12" s="48"/>
    </row>
    <row r="13" spans="1:6" ht="42.75" customHeight="1">
      <c r="A13" s="44" t="s">
        <v>44</v>
      </c>
      <c r="B13" s="46" t="s">
        <v>45</v>
      </c>
      <c r="C13" s="49" t="s">
        <v>410</v>
      </c>
      <c r="D13" s="50"/>
      <c r="E13" s="44" t="s">
        <v>403</v>
      </c>
      <c r="F13" s="44" t="s">
        <v>404</v>
      </c>
    </row>
    <row r="14" spans="1:6" ht="216.75" customHeight="1">
      <c r="A14" s="45"/>
      <c r="B14" s="46"/>
      <c r="C14" s="33" t="s">
        <v>412</v>
      </c>
      <c r="D14" s="33" t="s">
        <v>411</v>
      </c>
      <c r="E14" s="45"/>
      <c r="F14" s="45"/>
    </row>
    <row r="15" spans="1:6" ht="18">
      <c r="A15" s="22">
        <v>1</v>
      </c>
      <c r="B15" s="52">
        <v>2</v>
      </c>
      <c r="C15" s="22">
        <v>3</v>
      </c>
      <c r="D15" s="19">
        <v>4</v>
      </c>
      <c r="E15" s="21">
        <v>5</v>
      </c>
      <c r="F15" s="21">
        <v>6</v>
      </c>
    </row>
    <row r="16" spans="1:6" ht="34.5">
      <c r="A16" s="12" t="s">
        <v>8</v>
      </c>
      <c r="B16" s="53" t="s">
        <v>91</v>
      </c>
      <c r="C16" s="35">
        <v>64420779.79</v>
      </c>
      <c r="D16" s="18">
        <f>D64+D17+D27+D41+D57++D78+D94+D111+D123+D134+D53</f>
        <v>65944090.95</v>
      </c>
      <c r="E16" s="18">
        <f>E64+E17+E27+E41+E57++E78+E94+E111+E123+E134+E53</f>
        <v>69893152.09000002</v>
      </c>
      <c r="F16" s="18">
        <f>E16/D16*100</f>
        <v>105.98849886791868</v>
      </c>
    </row>
    <row r="17" spans="1:6" ht="18">
      <c r="A17" s="12" t="s">
        <v>9</v>
      </c>
      <c r="B17" s="53" t="s">
        <v>10</v>
      </c>
      <c r="C17" s="35">
        <v>51915090</v>
      </c>
      <c r="D17" s="18">
        <f>D18</f>
        <v>51375476.059999995</v>
      </c>
      <c r="E17" s="18">
        <f>E18</f>
        <v>54850651.75</v>
      </c>
      <c r="F17" s="18">
        <f>E17/D17*100</f>
        <v>106.7642695630527</v>
      </c>
    </row>
    <row r="18" spans="1:6" ht="18">
      <c r="A18" s="29" t="s">
        <v>11</v>
      </c>
      <c r="B18" s="54" t="s">
        <v>12</v>
      </c>
      <c r="C18" s="36">
        <f>C19+C21+C25+C23</f>
        <v>51915090</v>
      </c>
      <c r="D18" s="10">
        <f>D19+D21+D25+D23</f>
        <v>51375476.059999995</v>
      </c>
      <c r="E18" s="10">
        <f>E19+E21+E25+E23</f>
        <v>54850651.75</v>
      </c>
      <c r="F18" s="10">
        <f aca="true" t="shared" si="0" ref="F18:F80">E18/D18*100</f>
        <v>106.7642695630527</v>
      </c>
    </row>
    <row r="19" spans="1:6" ht="144">
      <c r="A19" s="29" t="s">
        <v>59</v>
      </c>
      <c r="B19" s="55" t="s">
        <v>146</v>
      </c>
      <c r="C19" s="37">
        <v>51302090</v>
      </c>
      <c r="D19" s="20">
        <f>D20</f>
        <v>50989476.059999995</v>
      </c>
      <c r="E19" s="20">
        <f>E20</f>
        <v>54483331.22</v>
      </c>
      <c r="F19" s="10">
        <f t="shared" si="0"/>
        <v>106.85211033721691</v>
      </c>
    </row>
    <row r="20" spans="1:6" ht="144">
      <c r="A20" s="29" t="s">
        <v>13</v>
      </c>
      <c r="B20" s="55" t="s">
        <v>146</v>
      </c>
      <c r="C20" s="37">
        <v>51302090</v>
      </c>
      <c r="D20" s="20">
        <f>51302090+282084.9+200000-5000-334199.96-451748.88-5000+1250</f>
        <v>50989476.059999995</v>
      </c>
      <c r="E20" s="20">
        <v>54483331.22</v>
      </c>
      <c r="F20" s="10">
        <f t="shared" si="0"/>
        <v>106.85211033721691</v>
      </c>
    </row>
    <row r="21" spans="1:6" ht="203.25" customHeight="1">
      <c r="A21" s="29" t="s">
        <v>60</v>
      </c>
      <c r="B21" s="55" t="s">
        <v>147</v>
      </c>
      <c r="C21" s="36">
        <v>160000</v>
      </c>
      <c r="D21" s="20">
        <f>D22</f>
        <v>97000</v>
      </c>
      <c r="E21" s="20">
        <f>E22</f>
        <v>94610.28</v>
      </c>
      <c r="F21" s="10">
        <f t="shared" si="0"/>
        <v>97.53637113402061</v>
      </c>
    </row>
    <row r="22" spans="1:6" ht="198">
      <c r="A22" s="29" t="s">
        <v>14</v>
      </c>
      <c r="B22" s="55" t="s">
        <v>147</v>
      </c>
      <c r="C22" s="36">
        <v>160000</v>
      </c>
      <c r="D22" s="20">
        <f>160000-80000+5000+12000</f>
        <v>97000</v>
      </c>
      <c r="E22" s="20">
        <v>94610.28</v>
      </c>
      <c r="F22" s="10">
        <f t="shared" si="0"/>
        <v>97.53637113402061</v>
      </c>
    </row>
    <row r="23" spans="1:6" ht="86.25" customHeight="1">
      <c r="A23" s="29" t="s">
        <v>61</v>
      </c>
      <c r="B23" s="54" t="s">
        <v>148</v>
      </c>
      <c r="C23" s="36">
        <v>303000</v>
      </c>
      <c r="D23" s="14">
        <f>D24</f>
        <v>212000</v>
      </c>
      <c r="E23" s="14">
        <f>E24</f>
        <v>198920.75</v>
      </c>
      <c r="F23" s="10">
        <f t="shared" si="0"/>
        <v>93.83054245283019</v>
      </c>
    </row>
    <row r="24" spans="1:6" ht="90">
      <c r="A24" s="29" t="s">
        <v>15</v>
      </c>
      <c r="B24" s="54" t="s">
        <v>148</v>
      </c>
      <c r="C24" s="36">
        <v>303000</v>
      </c>
      <c r="D24" s="14">
        <f>303000-50000-37000-4000</f>
        <v>212000</v>
      </c>
      <c r="E24" s="14">
        <v>198920.75</v>
      </c>
      <c r="F24" s="10">
        <f t="shared" si="0"/>
        <v>93.83054245283019</v>
      </c>
    </row>
    <row r="25" spans="1:6" ht="162">
      <c r="A25" s="29" t="s">
        <v>62</v>
      </c>
      <c r="B25" s="55" t="s">
        <v>149</v>
      </c>
      <c r="C25" s="36">
        <v>150000</v>
      </c>
      <c r="D25" s="14">
        <f>D26</f>
        <v>77000</v>
      </c>
      <c r="E25" s="14">
        <f>E26</f>
        <v>73789.5</v>
      </c>
      <c r="F25" s="10">
        <f t="shared" si="0"/>
        <v>95.83051948051948</v>
      </c>
    </row>
    <row r="26" spans="1:6" ht="162">
      <c r="A26" s="29" t="s">
        <v>16</v>
      </c>
      <c r="B26" s="55" t="s">
        <v>149</v>
      </c>
      <c r="C26" s="36">
        <v>150000</v>
      </c>
      <c r="D26" s="14">
        <f>150000-70000-3000</f>
        <v>77000</v>
      </c>
      <c r="E26" s="14">
        <v>73789.5</v>
      </c>
      <c r="F26" s="10">
        <f t="shared" si="0"/>
        <v>95.83051948051948</v>
      </c>
    </row>
    <row r="27" spans="1:6" s="6" customFormat="1" ht="69">
      <c r="A27" s="23" t="s">
        <v>48</v>
      </c>
      <c r="B27" s="56" t="s">
        <v>54</v>
      </c>
      <c r="C27" s="35">
        <v>4360000</v>
      </c>
      <c r="D27" s="13">
        <f>D28</f>
        <v>4360000</v>
      </c>
      <c r="E27" s="13">
        <f>E28</f>
        <v>4534733.88</v>
      </c>
      <c r="F27" s="18">
        <f t="shared" si="0"/>
        <v>104.00765779816514</v>
      </c>
    </row>
    <row r="28" spans="1:6" ht="54">
      <c r="A28" s="19" t="s">
        <v>49</v>
      </c>
      <c r="B28" s="57" t="s">
        <v>150</v>
      </c>
      <c r="C28" s="36">
        <f>C29+C32+C37+C38</f>
        <v>4360000</v>
      </c>
      <c r="D28" s="14">
        <f>D29+D32+D35+D38</f>
        <v>4360000</v>
      </c>
      <c r="E28" s="14">
        <f>E29+E32+E35+E38</f>
        <v>4534733.88</v>
      </c>
      <c r="F28" s="10">
        <f t="shared" si="0"/>
        <v>104.00765779816514</v>
      </c>
    </row>
    <row r="29" spans="1:6" ht="134.25" customHeight="1">
      <c r="A29" s="19" t="s">
        <v>360</v>
      </c>
      <c r="B29" s="57" t="s">
        <v>361</v>
      </c>
      <c r="C29" s="36">
        <v>1808000</v>
      </c>
      <c r="D29" s="14">
        <f>D30</f>
        <v>1936600</v>
      </c>
      <c r="E29" s="14">
        <f>E30</f>
        <v>2091590.48</v>
      </c>
      <c r="F29" s="10">
        <f t="shared" si="0"/>
        <v>108.00322627284933</v>
      </c>
    </row>
    <row r="30" spans="1:6" ht="216">
      <c r="A30" s="24" t="s">
        <v>127</v>
      </c>
      <c r="B30" s="55" t="s">
        <v>151</v>
      </c>
      <c r="C30" s="36">
        <v>1808000</v>
      </c>
      <c r="D30" s="14">
        <f>D31</f>
        <v>1936600</v>
      </c>
      <c r="E30" s="14">
        <f>E31</f>
        <v>2091590.48</v>
      </c>
      <c r="F30" s="10">
        <f t="shared" si="0"/>
        <v>108.00322627284933</v>
      </c>
    </row>
    <row r="31" spans="1:6" ht="216">
      <c r="A31" s="19" t="s">
        <v>128</v>
      </c>
      <c r="B31" s="55" t="s">
        <v>151</v>
      </c>
      <c r="C31" s="36">
        <v>1808000</v>
      </c>
      <c r="D31" s="14">
        <f>1808000+38000+60000+30600</f>
        <v>1936600</v>
      </c>
      <c r="E31" s="14">
        <v>2091590.48</v>
      </c>
      <c r="F31" s="10">
        <f t="shared" si="0"/>
        <v>108.00322627284933</v>
      </c>
    </row>
    <row r="32" spans="1:6" ht="168.75" customHeight="1">
      <c r="A32" s="19" t="s">
        <v>64</v>
      </c>
      <c r="B32" s="55" t="s">
        <v>152</v>
      </c>
      <c r="C32" s="36">
        <v>18000</v>
      </c>
      <c r="D32" s="14">
        <f>D33</f>
        <v>14400</v>
      </c>
      <c r="E32" s="14">
        <f>E33</f>
        <v>14960.54</v>
      </c>
      <c r="F32" s="10">
        <f t="shared" si="0"/>
        <v>103.89263888888888</v>
      </c>
    </row>
    <row r="33" spans="1:6" ht="252">
      <c r="A33" s="19" t="s">
        <v>130</v>
      </c>
      <c r="B33" s="55" t="s">
        <v>153</v>
      </c>
      <c r="C33" s="36">
        <v>18000</v>
      </c>
      <c r="D33" s="14">
        <f>D34</f>
        <v>14400</v>
      </c>
      <c r="E33" s="14">
        <f>E34</f>
        <v>14960.54</v>
      </c>
      <c r="F33" s="10">
        <f t="shared" si="0"/>
        <v>103.89263888888888</v>
      </c>
    </row>
    <row r="34" spans="1:6" ht="252">
      <c r="A34" s="19" t="s">
        <v>129</v>
      </c>
      <c r="B34" s="55" t="s">
        <v>153</v>
      </c>
      <c r="C34" s="36">
        <v>18000</v>
      </c>
      <c r="D34" s="14">
        <f>18000-3000-600</f>
        <v>14400</v>
      </c>
      <c r="E34" s="14">
        <v>14960.54</v>
      </c>
      <c r="F34" s="10">
        <f t="shared" si="0"/>
        <v>103.89263888888888</v>
      </c>
    </row>
    <row r="35" spans="1:6" ht="144">
      <c r="A35" s="19" t="s">
        <v>63</v>
      </c>
      <c r="B35" s="55" t="s">
        <v>154</v>
      </c>
      <c r="C35" s="36">
        <v>2784000</v>
      </c>
      <c r="D35" s="14">
        <f>D36</f>
        <v>2769000</v>
      </c>
      <c r="E35" s="14">
        <f>E36</f>
        <v>2813776.85</v>
      </c>
      <c r="F35" s="10">
        <f t="shared" si="0"/>
        <v>101.61707656193573</v>
      </c>
    </row>
    <row r="36" spans="1:6" ht="216">
      <c r="A36" s="19" t="s">
        <v>131</v>
      </c>
      <c r="B36" s="55" t="s">
        <v>135</v>
      </c>
      <c r="C36" s="36">
        <v>2784000</v>
      </c>
      <c r="D36" s="14">
        <f>D37</f>
        <v>2769000</v>
      </c>
      <c r="E36" s="14">
        <f>E37</f>
        <v>2813776.85</v>
      </c>
      <c r="F36" s="10">
        <f t="shared" si="0"/>
        <v>101.61707656193573</v>
      </c>
    </row>
    <row r="37" spans="1:6" ht="216">
      <c r="A37" s="19" t="s">
        <v>132</v>
      </c>
      <c r="B37" s="55" t="s">
        <v>135</v>
      </c>
      <c r="C37" s="36">
        <v>2784000</v>
      </c>
      <c r="D37" s="14">
        <f>2784000+15000-30000</f>
        <v>2769000</v>
      </c>
      <c r="E37" s="14">
        <v>2813776.85</v>
      </c>
      <c r="F37" s="10">
        <f t="shared" si="0"/>
        <v>101.61707656193573</v>
      </c>
    </row>
    <row r="38" spans="1:6" ht="150" customHeight="1">
      <c r="A38" s="19" t="s">
        <v>98</v>
      </c>
      <c r="B38" s="55" t="s">
        <v>155</v>
      </c>
      <c r="C38" s="36">
        <v>-250000</v>
      </c>
      <c r="D38" s="14">
        <f>D39</f>
        <v>-360000</v>
      </c>
      <c r="E38" s="14">
        <f>E39</f>
        <v>-385593.99</v>
      </c>
      <c r="F38" s="10">
        <f t="shared" si="0"/>
        <v>107.10944166666667</v>
      </c>
    </row>
    <row r="39" spans="1:6" ht="216">
      <c r="A39" s="19" t="s">
        <v>133</v>
      </c>
      <c r="B39" s="55" t="s">
        <v>156</v>
      </c>
      <c r="C39" s="36">
        <v>-250000</v>
      </c>
      <c r="D39" s="14">
        <f>D40</f>
        <v>-360000</v>
      </c>
      <c r="E39" s="14">
        <f>E40</f>
        <v>-385593.99</v>
      </c>
      <c r="F39" s="10">
        <f t="shared" si="0"/>
        <v>107.10944166666667</v>
      </c>
    </row>
    <row r="40" spans="1:6" ht="216">
      <c r="A40" s="19" t="s">
        <v>134</v>
      </c>
      <c r="B40" s="55" t="s">
        <v>156</v>
      </c>
      <c r="C40" s="36">
        <v>-250000</v>
      </c>
      <c r="D40" s="14">
        <f>-250000-50000-60000</f>
        <v>-360000</v>
      </c>
      <c r="E40" s="14">
        <v>-385593.99</v>
      </c>
      <c r="F40" s="10">
        <f t="shared" si="0"/>
        <v>107.10944166666667</v>
      </c>
    </row>
    <row r="41" spans="1:6" ht="18">
      <c r="A41" s="12" t="s">
        <v>17</v>
      </c>
      <c r="B41" s="53" t="s">
        <v>88</v>
      </c>
      <c r="C41" s="35">
        <v>4092000</v>
      </c>
      <c r="D41" s="18">
        <f>D42+D47+D50</f>
        <v>4388104.6</v>
      </c>
      <c r="E41" s="18">
        <f>E42+E47+E50</f>
        <v>4356740.26</v>
      </c>
      <c r="F41" s="18">
        <f t="shared" si="0"/>
        <v>99.28524174195847</v>
      </c>
    </row>
    <row r="42" spans="1:6" ht="36">
      <c r="A42" s="29" t="s">
        <v>50</v>
      </c>
      <c r="B42" s="54" t="s">
        <v>157</v>
      </c>
      <c r="C42" s="36">
        <v>3990000</v>
      </c>
      <c r="D42" s="10">
        <f>D43+D45</f>
        <v>4062673.5999999996</v>
      </c>
      <c r="E42" s="10">
        <f>E43+E45</f>
        <v>3997062.8499999996</v>
      </c>
      <c r="F42" s="10">
        <f t="shared" si="0"/>
        <v>98.3850351650204</v>
      </c>
    </row>
    <row r="43" spans="1:6" ht="36">
      <c r="A43" s="29" t="s">
        <v>66</v>
      </c>
      <c r="B43" s="54" t="s">
        <v>157</v>
      </c>
      <c r="C43" s="36">
        <v>3990000</v>
      </c>
      <c r="D43" s="10">
        <f>D44</f>
        <v>4062526.4699999997</v>
      </c>
      <c r="E43" s="10">
        <f>E44</f>
        <v>3996912.55</v>
      </c>
      <c r="F43" s="10">
        <f t="shared" si="0"/>
        <v>98.38489864658038</v>
      </c>
    </row>
    <row r="44" spans="1:6" ht="36">
      <c r="A44" s="29" t="s">
        <v>18</v>
      </c>
      <c r="B44" s="54" t="s">
        <v>157</v>
      </c>
      <c r="C44" s="36">
        <v>3990000</v>
      </c>
      <c r="D44" s="10">
        <f>3990000-23332.39+100000+150000-141.14-100000-54000</f>
        <v>4062526.4699999997</v>
      </c>
      <c r="E44" s="10">
        <v>3996912.55</v>
      </c>
      <c r="F44" s="10">
        <f t="shared" si="0"/>
        <v>98.38489864658038</v>
      </c>
    </row>
    <row r="45" spans="1:6" ht="90">
      <c r="A45" s="29" t="s">
        <v>269</v>
      </c>
      <c r="B45" s="54" t="s">
        <v>270</v>
      </c>
      <c r="C45" s="36">
        <v>0</v>
      </c>
      <c r="D45" s="10">
        <f>D46</f>
        <v>147.13</v>
      </c>
      <c r="E45" s="10">
        <f>E46</f>
        <v>150.3</v>
      </c>
      <c r="F45" s="10">
        <f t="shared" si="0"/>
        <v>102.15455719431796</v>
      </c>
    </row>
    <row r="46" spans="1:6" ht="90">
      <c r="A46" s="29" t="s">
        <v>271</v>
      </c>
      <c r="B46" s="54" t="s">
        <v>270</v>
      </c>
      <c r="C46" s="36">
        <v>0</v>
      </c>
      <c r="D46" s="10">
        <f>1.39+104.6+41.14</f>
        <v>147.13</v>
      </c>
      <c r="E46" s="10">
        <v>150.3</v>
      </c>
      <c r="F46" s="10">
        <f t="shared" si="0"/>
        <v>102.15455719431796</v>
      </c>
    </row>
    <row r="47" spans="1:6" ht="18">
      <c r="A47" s="29" t="s">
        <v>51</v>
      </c>
      <c r="B47" s="54" t="s">
        <v>158</v>
      </c>
      <c r="C47" s="36">
        <v>7000</v>
      </c>
      <c r="D47" s="10">
        <f>D48</f>
        <v>9400</v>
      </c>
      <c r="E47" s="10">
        <f>E48</f>
        <v>9044</v>
      </c>
      <c r="F47" s="10">
        <f t="shared" si="0"/>
        <v>96.2127659574468</v>
      </c>
    </row>
    <row r="48" spans="1:6" ht="18">
      <c r="A48" s="29" t="s">
        <v>74</v>
      </c>
      <c r="B48" s="54" t="s">
        <v>158</v>
      </c>
      <c r="C48" s="36">
        <v>7000</v>
      </c>
      <c r="D48" s="10">
        <f>D49</f>
        <v>9400</v>
      </c>
      <c r="E48" s="10">
        <f>E49</f>
        <v>9044</v>
      </c>
      <c r="F48" s="10">
        <f t="shared" si="0"/>
        <v>96.2127659574468</v>
      </c>
    </row>
    <row r="49" spans="1:6" ht="18">
      <c r="A49" s="29" t="s">
        <v>19</v>
      </c>
      <c r="B49" s="54" t="s">
        <v>158</v>
      </c>
      <c r="C49" s="36">
        <v>7000</v>
      </c>
      <c r="D49" s="10">
        <f>12000-5000+2100+100+200</f>
        <v>9400</v>
      </c>
      <c r="E49" s="10">
        <v>9044</v>
      </c>
      <c r="F49" s="10">
        <f t="shared" si="0"/>
        <v>96.2127659574468</v>
      </c>
    </row>
    <row r="50" spans="1:6" ht="45" customHeight="1">
      <c r="A50" s="29" t="s">
        <v>83</v>
      </c>
      <c r="B50" s="57" t="s">
        <v>84</v>
      </c>
      <c r="C50" s="36">
        <v>95000</v>
      </c>
      <c r="D50" s="10">
        <f>D51</f>
        <v>316031</v>
      </c>
      <c r="E50" s="10">
        <f>E51</f>
        <v>350633.41</v>
      </c>
      <c r="F50" s="10">
        <f t="shared" si="0"/>
        <v>110.9490556306185</v>
      </c>
    </row>
    <row r="51" spans="1:6" ht="78" customHeight="1">
      <c r="A51" s="29" t="s">
        <v>86</v>
      </c>
      <c r="B51" s="57" t="s">
        <v>159</v>
      </c>
      <c r="C51" s="36">
        <v>95000</v>
      </c>
      <c r="D51" s="10">
        <f>D52</f>
        <v>316031</v>
      </c>
      <c r="E51" s="10">
        <f>E52</f>
        <v>350633.41</v>
      </c>
      <c r="F51" s="10">
        <f t="shared" si="0"/>
        <v>110.9490556306185</v>
      </c>
    </row>
    <row r="52" spans="1:6" ht="72">
      <c r="A52" s="29" t="s">
        <v>87</v>
      </c>
      <c r="B52" s="57" t="s">
        <v>159</v>
      </c>
      <c r="C52" s="36">
        <v>95000</v>
      </c>
      <c r="D52" s="10">
        <f>90000+5000+21231+100000-200+100000</f>
        <v>316031</v>
      </c>
      <c r="E52" s="10">
        <v>350633.41</v>
      </c>
      <c r="F52" s="10">
        <f t="shared" si="0"/>
        <v>110.9490556306185</v>
      </c>
    </row>
    <row r="53" spans="1:6" ht="67.5" customHeight="1">
      <c r="A53" s="12" t="s">
        <v>272</v>
      </c>
      <c r="B53" s="56" t="s">
        <v>273</v>
      </c>
      <c r="C53" s="35">
        <v>0</v>
      </c>
      <c r="D53" s="18">
        <f aca="true" t="shared" si="1" ref="D53:E55">D54</f>
        <v>77385</v>
      </c>
      <c r="E53" s="18">
        <f t="shared" si="1"/>
        <v>77385</v>
      </c>
      <c r="F53" s="18">
        <f t="shared" si="0"/>
        <v>100</v>
      </c>
    </row>
    <row r="54" spans="1:6" ht="45" customHeight="1">
      <c r="A54" s="29" t="s">
        <v>274</v>
      </c>
      <c r="B54" s="57" t="s">
        <v>275</v>
      </c>
      <c r="C54" s="36">
        <v>0</v>
      </c>
      <c r="D54" s="10">
        <f t="shared" si="1"/>
        <v>77385</v>
      </c>
      <c r="E54" s="10">
        <f t="shared" si="1"/>
        <v>77385</v>
      </c>
      <c r="F54" s="10">
        <f t="shared" si="0"/>
        <v>100</v>
      </c>
    </row>
    <row r="55" spans="1:6" ht="54">
      <c r="A55" s="29" t="s">
        <v>276</v>
      </c>
      <c r="B55" s="57" t="s">
        <v>277</v>
      </c>
      <c r="C55" s="36">
        <v>0</v>
      </c>
      <c r="D55" s="10">
        <f t="shared" si="1"/>
        <v>77385</v>
      </c>
      <c r="E55" s="10">
        <f t="shared" si="1"/>
        <v>77385</v>
      </c>
      <c r="F55" s="10">
        <f t="shared" si="0"/>
        <v>100</v>
      </c>
    </row>
    <row r="56" spans="1:6" ht="54">
      <c r="A56" s="29" t="s">
        <v>278</v>
      </c>
      <c r="B56" s="57" t="s">
        <v>277</v>
      </c>
      <c r="C56" s="36">
        <v>0</v>
      </c>
      <c r="D56" s="10">
        <f>55275+22110</f>
        <v>77385</v>
      </c>
      <c r="E56" s="10">
        <v>77385</v>
      </c>
      <c r="F56" s="10">
        <f t="shared" si="0"/>
        <v>100</v>
      </c>
    </row>
    <row r="57" spans="1:6" ht="18">
      <c r="A57" s="12" t="s">
        <v>20</v>
      </c>
      <c r="B57" s="53" t="s">
        <v>89</v>
      </c>
      <c r="C57" s="35">
        <v>1110000</v>
      </c>
      <c r="D57" s="18">
        <f aca="true" t="shared" si="2" ref="D57:E59">D58</f>
        <v>1493039.26</v>
      </c>
      <c r="E57" s="18">
        <f t="shared" si="2"/>
        <v>1569060.77</v>
      </c>
      <c r="F57" s="18">
        <f t="shared" si="0"/>
        <v>105.09172880021922</v>
      </c>
    </row>
    <row r="58" spans="1:6" ht="61.5" customHeight="1">
      <c r="A58" s="29" t="s">
        <v>65</v>
      </c>
      <c r="B58" s="54" t="s">
        <v>160</v>
      </c>
      <c r="C58" s="36">
        <v>1100000</v>
      </c>
      <c r="D58" s="20">
        <f t="shared" si="2"/>
        <v>1493039.26</v>
      </c>
      <c r="E58" s="20">
        <f t="shared" si="2"/>
        <v>1569060.77</v>
      </c>
      <c r="F58" s="10">
        <f t="shared" si="0"/>
        <v>105.09172880021922</v>
      </c>
    </row>
    <row r="59" spans="1:6" ht="90">
      <c r="A59" s="29" t="s">
        <v>67</v>
      </c>
      <c r="B59" s="55" t="s">
        <v>161</v>
      </c>
      <c r="C59" s="36">
        <v>1100000</v>
      </c>
      <c r="D59" s="20">
        <f t="shared" si="2"/>
        <v>1493039.26</v>
      </c>
      <c r="E59" s="20">
        <f t="shared" si="2"/>
        <v>1569060.77</v>
      </c>
      <c r="F59" s="10">
        <f t="shared" si="0"/>
        <v>105.09172880021922</v>
      </c>
    </row>
    <row r="60" spans="1:6" ht="90">
      <c r="A60" s="29" t="s">
        <v>21</v>
      </c>
      <c r="B60" s="55" t="s">
        <v>161</v>
      </c>
      <c r="C60" s="36">
        <v>1100000</v>
      </c>
      <c r="D60" s="20">
        <f>1100000+4523.45+150000-0.19+5000+179516+54000</f>
        <v>1493039.26</v>
      </c>
      <c r="E60" s="20">
        <v>1569060.77</v>
      </c>
      <c r="F60" s="10">
        <f t="shared" si="0"/>
        <v>105.09172880021922</v>
      </c>
    </row>
    <row r="61" spans="1:6" ht="72">
      <c r="A61" s="40" t="s">
        <v>413</v>
      </c>
      <c r="B61" s="58" t="s">
        <v>414</v>
      </c>
      <c r="C61" s="36">
        <v>10000</v>
      </c>
      <c r="D61" s="20">
        <v>0</v>
      </c>
      <c r="E61" s="20">
        <v>0</v>
      </c>
      <c r="F61" s="10">
        <v>0</v>
      </c>
    </row>
    <row r="62" spans="1:6" ht="54">
      <c r="A62" s="40" t="s">
        <v>415</v>
      </c>
      <c r="B62" s="59" t="s">
        <v>416</v>
      </c>
      <c r="C62" s="36">
        <v>10000</v>
      </c>
      <c r="D62" s="20">
        <v>0</v>
      </c>
      <c r="E62" s="20">
        <v>0</v>
      </c>
      <c r="F62" s="10">
        <v>0</v>
      </c>
    </row>
    <row r="63" spans="1:6" ht="54">
      <c r="A63" s="40" t="s">
        <v>417</v>
      </c>
      <c r="B63" s="59" t="s">
        <v>416</v>
      </c>
      <c r="C63" s="36">
        <v>10000</v>
      </c>
      <c r="D63" s="20">
        <v>0</v>
      </c>
      <c r="E63" s="20">
        <v>0</v>
      </c>
      <c r="F63" s="10">
        <v>0</v>
      </c>
    </row>
    <row r="64" spans="1:6" ht="87">
      <c r="A64" s="12" t="s">
        <v>332</v>
      </c>
      <c r="B64" s="60" t="s">
        <v>331</v>
      </c>
      <c r="C64" s="35">
        <v>0</v>
      </c>
      <c r="D64" s="13">
        <f>D65+D68+D71+D74</f>
        <v>443.22</v>
      </c>
      <c r="E64" s="13">
        <f>E65+E68+E71+E74</f>
        <v>443.24000000000007</v>
      </c>
      <c r="F64" s="18">
        <f t="shared" si="0"/>
        <v>100.00451243174948</v>
      </c>
    </row>
    <row r="65" spans="1:6" ht="72">
      <c r="A65" s="29" t="s">
        <v>333</v>
      </c>
      <c r="B65" s="55" t="s">
        <v>334</v>
      </c>
      <c r="C65" s="36">
        <v>0</v>
      </c>
      <c r="D65" s="14">
        <f>D66</f>
        <v>160.17000000000002</v>
      </c>
      <c r="E65" s="14">
        <f>E66</f>
        <v>160.19</v>
      </c>
      <c r="F65" s="10">
        <f t="shared" si="0"/>
        <v>100.01248673284633</v>
      </c>
    </row>
    <row r="66" spans="1:6" ht="90">
      <c r="A66" s="29" t="s">
        <v>335</v>
      </c>
      <c r="B66" s="55" t="s">
        <v>336</v>
      </c>
      <c r="C66" s="36">
        <v>0</v>
      </c>
      <c r="D66" s="14">
        <f>D67</f>
        <v>160.17000000000002</v>
      </c>
      <c r="E66" s="14">
        <f>E67</f>
        <v>160.19</v>
      </c>
      <c r="F66" s="10">
        <f t="shared" si="0"/>
        <v>100.01248673284633</v>
      </c>
    </row>
    <row r="67" spans="1:6" ht="90">
      <c r="A67" s="29" t="s">
        <v>337</v>
      </c>
      <c r="B67" s="55" t="s">
        <v>336</v>
      </c>
      <c r="C67" s="36">
        <v>0</v>
      </c>
      <c r="D67" s="14">
        <f>159.9+0.27</f>
        <v>160.17000000000002</v>
      </c>
      <c r="E67" s="15">
        <v>160.19</v>
      </c>
      <c r="F67" s="10">
        <f t="shared" si="0"/>
        <v>100.01248673284633</v>
      </c>
    </row>
    <row r="68" spans="1:6" ht="36">
      <c r="A68" s="29" t="s">
        <v>338</v>
      </c>
      <c r="B68" s="55" t="s">
        <v>339</v>
      </c>
      <c r="C68" s="36">
        <v>0</v>
      </c>
      <c r="D68" s="14">
        <f>D69</f>
        <v>132.65</v>
      </c>
      <c r="E68" s="14">
        <f>E69</f>
        <v>132.65</v>
      </c>
      <c r="F68" s="10">
        <f t="shared" si="0"/>
        <v>100</v>
      </c>
    </row>
    <row r="69" spans="1:6" ht="36">
      <c r="A69" s="29" t="s">
        <v>340</v>
      </c>
      <c r="B69" s="55" t="s">
        <v>341</v>
      </c>
      <c r="C69" s="36">
        <v>0</v>
      </c>
      <c r="D69" s="14">
        <f>D70</f>
        <v>132.65</v>
      </c>
      <c r="E69" s="14">
        <f>E70</f>
        <v>132.65</v>
      </c>
      <c r="F69" s="10">
        <f t="shared" si="0"/>
        <v>100</v>
      </c>
    </row>
    <row r="70" spans="1:6" ht="36">
      <c r="A70" s="29" t="s">
        <v>342</v>
      </c>
      <c r="B70" s="55" t="s">
        <v>341</v>
      </c>
      <c r="C70" s="36">
        <v>0</v>
      </c>
      <c r="D70" s="14">
        <v>132.65</v>
      </c>
      <c r="E70" s="15">
        <v>132.65</v>
      </c>
      <c r="F70" s="10">
        <f t="shared" si="0"/>
        <v>100</v>
      </c>
    </row>
    <row r="71" spans="1:6" ht="72">
      <c r="A71" s="29" t="s">
        <v>343</v>
      </c>
      <c r="B71" s="55" t="s">
        <v>344</v>
      </c>
      <c r="C71" s="36">
        <v>0</v>
      </c>
      <c r="D71" s="14">
        <f>D72</f>
        <v>104.03999999999999</v>
      </c>
      <c r="E71" s="14">
        <f>E72</f>
        <v>104.04</v>
      </c>
      <c r="F71" s="10">
        <f t="shared" si="0"/>
        <v>100.00000000000003</v>
      </c>
    </row>
    <row r="72" spans="1:6" ht="36">
      <c r="A72" s="29" t="s">
        <v>345</v>
      </c>
      <c r="B72" s="55" t="s">
        <v>346</v>
      </c>
      <c r="C72" s="36">
        <v>0</v>
      </c>
      <c r="D72" s="14">
        <f>D73</f>
        <v>104.03999999999999</v>
      </c>
      <c r="E72" s="14">
        <f>E73</f>
        <v>104.04</v>
      </c>
      <c r="F72" s="10">
        <f t="shared" si="0"/>
        <v>100.00000000000003</v>
      </c>
    </row>
    <row r="73" spans="1:6" ht="36">
      <c r="A73" s="29" t="s">
        <v>347</v>
      </c>
      <c r="B73" s="55" t="s">
        <v>346</v>
      </c>
      <c r="C73" s="36">
        <v>0</v>
      </c>
      <c r="D73" s="14">
        <f>103.85+0.19</f>
        <v>104.03999999999999</v>
      </c>
      <c r="E73" s="15">
        <v>104.04</v>
      </c>
      <c r="F73" s="10">
        <f t="shared" si="0"/>
        <v>100.00000000000003</v>
      </c>
    </row>
    <row r="74" spans="1:6" ht="47.25" customHeight="1">
      <c r="A74" s="29" t="s">
        <v>348</v>
      </c>
      <c r="B74" s="55" t="s">
        <v>349</v>
      </c>
      <c r="C74" s="36">
        <v>0</v>
      </c>
      <c r="D74" s="14">
        <f aca="true" t="shared" si="3" ref="D74:E76">D75</f>
        <v>46.36</v>
      </c>
      <c r="E74" s="14">
        <f t="shared" si="3"/>
        <v>46.36</v>
      </c>
      <c r="F74" s="10">
        <f t="shared" si="0"/>
        <v>100</v>
      </c>
    </row>
    <row r="75" spans="1:6" ht="90">
      <c r="A75" s="29" t="s">
        <v>350</v>
      </c>
      <c r="B75" s="55" t="s">
        <v>351</v>
      </c>
      <c r="C75" s="36">
        <v>0</v>
      </c>
      <c r="D75" s="14">
        <f t="shared" si="3"/>
        <v>46.36</v>
      </c>
      <c r="E75" s="14">
        <f t="shared" si="3"/>
        <v>46.36</v>
      </c>
      <c r="F75" s="10">
        <f t="shared" si="0"/>
        <v>100</v>
      </c>
    </row>
    <row r="76" spans="1:6" ht="126">
      <c r="A76" s="29" t="s">
        <v>352</v>
      </c>
      <c r="B76" s="55" t="s">
        <v>353</v>
      </c>
      <c r="C76" s="36">
        <v>0</v>
      </c>
      <c r="D76" s="14">
        <f t="shared" si="3"/>
        <v>46.36</v>
      </c>
      <c r="E76" s="14">
        <f t="shared" si="3"/>
        <v>46.36</v>
      </c>
      <c r="F76" s="10">
        <f t="shared" si="0"/>
        <v>100</v>
      </c>
    </row>
    <row r="77" spans="1:6" ht="126">
      <c r="A77" s="29" t="s">
        <v>354</v>
      </c>
      <c r="B77" s="55" t="s">
        <v>353</v>
      </c>
      <c r="C77" s="36">
        <v>0</v>
      </c>
      <c r="D77" s="14">
        <v>46.36</v>
      </c>
      <c r="E77" s="15">
        <v>46.36</v>
      </c>
      <c r="F77" s="10">
        <f t="shared" si="0"/>
        <v>100</v>
      </c>
    </row>
    <row r="78" spans="1:9" ht="87">
      <c r="A78" s="12" t="s">
        <v>22</v>
      </c>
      <c r="B78" s="53" t="s">
        <v>162</v>
      </c>
      <c r="C78" s="35">
        <v>1486689.79</v>
      </c>
      <c r="D78" s="18">
        <f>D82+D79</f>
        <v>1910959.38</v>
      </c>
      <c r="E78" s="18">
        <f>E82+E79</f>
        <v>2091063.3699999999</v>
      </c>
      <c r="F78" s="18">
        <f t="shared" si="0"/>
        <v>109.4247942622412</v>
      </c>
      <c r="G78" s="7"/>
      <c r="H78" s="7"/>
      <c r="I78" s="7"/>
    </row>
    <row r="79" spans="1:9" ht="54">
      <c r="A79" s="17" t="s">
        <v>220</v>
      </c>
      <c r="B79" s="54" t="s">
        <v>221</v>
      </c>
      <c r="C79" s="36">
        <v>0</v>
      </c>
      <c r="D79" s="10">
        <f>D80</f>
        <v>36279.18</v>
      </c>
      <c r="E79" s="10">
        <f>E80</f>
        <v>36279.18</v>
      </c>
      <c r="F79" s="10">
        <f t="shared" si="0"/>
        <v>100</v>
      </c>
      <c r="G79" s="7"/>
      <c r="H79" s="7"/>
      <c r="I79" s="7"/>
    </row>
    <row r="80" spans="1:9" ht="90">
      <c r="A80" s="17" t="s">
        <v>222</v>
      </c>
      <c r="B80" s="54" t="s">
        <v>223</v>
      </c>
      <c r="C80" s="36">
        <v>0</v>
      </c>
      <c r="D80" s="10">
        <f>D81</f>
        <v>36279.18</v>
      </c>
      <c r="E80" s="10">
        <f>E81</f>
        <v>36279.18</v>
      </c>
      <c r="F80" s="10">
        <f t="shared" si="0"/>
        <v>100</v>
      </c>
      <c r="G80" s="7"/>
      <c r="H80" s="7"/>
      <c r="I80" s="7"/>
    </row>
    <row r="81" spans="1:9" ht="90">
      <c r="A81" s="17" t="s">
        <v>224</v>
      </c>
      <c r="B81" s="54" t="s">
        <v>223</v>
      </c>
      <c r="C81" s="36">
        <v>0</v>
      </c>
      <c r="D81" s="10">
        <v>36279.18</v>
      </c>
      <c r="E81" s="10">
        <v>36279.18</v>
      </c>
      <c r="F81" s="10">
        <f aca="true" t="shared" si="4" ref="F81:F146">E81/D81*100</f>
        <v>100</v>
      </c>
      <c r="G81" s="7"/>
      <c r="H81" s="7"/>
      <c r="I81" s="7"/>
    </row>
    <row r="82" spans="1:6" ht="162">
      <c r="A82" s="29" t="s">
        <v>23</v>
      </c>
      <c r="B82" s="55" t="s">
        <v>163</v>
      </c>
      <c r="C82" s="36">
        <v>1486689.79</v>
      </c>
      <c r="D82" s="20">
        <f>D83+D88+D91</f>
        <v>1874680.2</v>
      </c>
      <c r="E82" s="20">
        <f>E83+E88+E91</f>
        <v>2054784.19</v>
      </c>
      <c r="F82" s="10">
        <f t="shared" si="4"/>
        <v>109.6071847347617</v>
      </c>
    </row>
    <row r="83" spans="1:6" ht="126">
      <c r="A83" s="29" t="s">
        <v>38</v>
      </c>
      <c r="B83" s="55" t="s">
        <v>164</v>
      </c>
      <c r="C83" s="36">
        <v>1439689.79</v>
      </c>
      <c r="D83" s="14">
        <f>D86+D84</f>
        <v>1711455.69</v>
      </c>
      <c r="E83" s="14">
        <f>E86+E84</f>
        <v>1878594.6400000001</v>
      </c>
      <c r="F83" s="10">
        <f t="shared" si="4"/>
        <v>109.76589408516911</v>
      </c>
    </row>
    <row r="84" spans="1:6" ht="180">
      <c r="A84" s="29" t="s">
        <v>92</v>
      </c>
      <c r="B84" s="55" t="s">
        <v>165</v>
      </c>
      <c r="C84" s="36">
        <v>439689.79</v>
      </c>
      <c r="D84" s="14">
        <f>D85</f>
        <v>515990.29</v>
      </c>
      <c r="E84" s="14">
        <f>E85</f>
        <v>541328.16</v>
      </c>
      <c r="F84" s="10">
        <f t="shared" si="4"/>
        <v>104.91053232804053</v>
      </c>
    </row>
    <row r="85" spans="1:6" ht="180">
      <c r="A85" s="29" t="s">
        <v>93</v>
      </c>
      <c r="B85" s="55" t="s">
        <v>165</v>
      </c>
      <c r="C85" s="36">
        <v>439689.79</v>
      </c>
      <c r="D85" s="14">
        <f>398500+41189.79+66300.5+10000</f>
        <v>515990.29</v>
      </c>
      <c r="E85" s="14">
        <v>541328.16</v>
      </c>
      <c r="F85" s="10">
        <f t="shared" si="4"/>
        <v>104.91053232804053</v>
      </c>
    </row>
    <row r="86" spans="1:6" ht="144">
      <c r="A86" s="29" t="s">
        <v>79</v>
      </c>
      <c r="B86" s="61" t="s">
        <v>166</v>
      </c>
      <c r="C86" s="36">
        <v>1000000</v>
      </c>
      <c r="D86" s="14">
        <f>D87</f>
        <v>1195465.4</v>
      </c>
      <c r="E86" s="14">
        <f>E87</f>
        <v>1337266.48</v>
      </c>
      <c r="F86" s="10">
        <f t="shared" si="4"/>
        <v>111.86157959904153</v>
      </c>
    </row>
    <row r="87" spans="1:6" ht="144">
      <c r="A87" s="29" t="s">
        <v>80</v>
      </c>
      <c r="B87" s="61" t="s">
        <v>166</v>
      </c>
      <c r="C87" s="36">
        <v>1000000</v>
      </c>
      <c r="D87" s="14">
        <f>900000+100000-73743.8-7632.83-9000+160842.03+125000</f>
        <v>1195465.4</v>
      </c>
      <c r="E87" s="14">
        <v>1337266.48</v>
      </c>
      <c r="F87" s="10">
        <f t="shared" si="4"/>
        <v>111.86157959904153</v>
      </c>
    </row>
    <row r="88" spans="1:6" ht="155.25" customHeight="1">
      <c r="A88" s="29" t="s">
        <v>58</v>
      </c>
      <c r="B88" s="55" t="s">
        <v>56</v>
      </c>
      <c r="C88" s="36">
        <v>30000</v>
      </c>
      <c r="D88" s="14">
        <f>D89</f>
        <v>43853.57</v>
      </c>
      <c r="E88" s="14">
        <f>E89</f>
        <v>50440.41</v>
      </c>
      <c r="F88" s="10">
        <f t="shared" si="4"/>
        <v>115.02007704275844</v>
      </c>
    </row>
    <row r="89" spans="1:6" ht="131.25" customHeight="1">
      <c r="A89" s="29" t="s">
        <v>68</v>
      </c>
      <c r="B89" s="55" t="s">
        <v>57</v>
      </c>
      <c r="C89" s="36">
        <v>30000</v>
      </c>
      <c r="D89" s="14">
        <f>D90</f>
        <v>43853.57</v>
      </c>
      <c r="E89" s="14">
        <f>E90</f>
        <v>50440.41</v>
      </c>
      <c r="F89" s="10">
        <f t="shared" si="4"/>
        <v>115.02007704275844</v>
      </c>
    </row>
    <row r="90" spans="1:6" ht="126">
      <c r="A90" s="29" t="s">
        <v>55</v>
      </c>
      <c r="B90" s="55" t="s">
        <v>57</v>
      </c>
      <c r="C90" s="36">
        <v>30000</v>
      </c>
      <c r="D90" s="14">
        <f>30000+687.47+9000+474.46+3691.64</f>
        <v>43853.57</v>
      </c>
      <c r="E90" s="14">
        <v>50440.41</v>
      </c>
      <c r="F90" s="10">
        <f t="shared" si="4"/>
        <v>115.02007704275844</v>
      </c>
    </row>
    <row r="91" spans="1:6" ht="150.75" customHeight="1">
      <c r="A91" s="29" t="s">
        <v>39</v>
      </c>
      <c r="B91" s="55" t="s">
        <v>167</v>
      </c>
      <c r="C91" s="36">
        <v>17000</v>
      </c>
      <c r="D91" s="15">
        <f>D92</f>
        <v>119370.94</v>
      </c>
      <c r="E91" s="15">
        <f>E92</f>
        <v>125749.14</v>
      </c>
      <c r="F91" s="10">
        <f t="shared" si="4"/>
        <v>105.34317648834799</v>
      </c>
    </row>
    <row r="92" spans="1:6" ht="120" customHeight="1">
      <c r="A92" s="29" t="s">
        <v>69</v>
      </c>
      <c r="B92" s="55" t="s">
        <v>168</v>
      </c>
      <c r="C92" s="36">
        <v>17000</v>
      </c>
      <c r="D92" s="15">
        <f>D93</f>
        <v>119370.94</v>
      </c>
      <c r="E92" s="15">
        <f>E93</f>
        <v>125749.14</v>
      </c>
      <c r="F92" s="10">
        <f t="shared" si="4"/>
        <v>105.34317648834799</v>
      </c>
    </row>
    <row r="93" spans="1:6" ht="117.75" customHeight="1">
      <c r="A93" s="29" t="s">
        <v>24</v>
      </c>
      <c r="B93" s="55" t="s">
        <v>168</v>
      </c>
      <c r="C93" s="36">
        <v>17000</v>
      </c>
      <c r="D93" s="15">
        <f>17000+18468.8+7000+6398+43000+6114.14+14490+6900</f>
        <v>119370.94</v>
      </c>
      <c r="E93" s="15">
        <v>125749.14</v>
      </c>
      <c r="F93" s="10">
        <f t="shared" si="4"/>
        <v>105.34317648834799</v>
      </c>
    </row>
    <row r="94" spans="1:6" ht="34.5">
      <c r="A94" s="12" t="s">
        <v>25</v>
      </c>
      <c r="B94" s="53" t="s">
        <v>52</v>
      </c>
      <c r="C94" s="35">
        <v>164000</v>
      </c>
      <c r="D94" s="18">
        <f>D95</f>
        <v>333157.14</v>
      </c>
      <c r="E94" s="18">
        <f>E95</f>
        <v>341332.17000000004</v>
      </c>
      <c r="F94" s="18">
        <f t="shared" si="4"/>
        <v>102.45380603279281</v>
      </c>
    </row>
    <row r="95" spans="1:6" ht="36">
      <c r="A95" s="29" t="s">
        <v>40</v>
      </c>
      <c r="B95" s="54" t="s">
        <v>169</v>
      </c>
      <c r="C95" s="36">
        <v>164000</v>
      </c>
      <c r="D95" s="10">
        <f>D96+D102</f>
        <v>333157.14</v>
      </c>
      <c r="E95" s="10">
        <f>E96+E102</f>
        <v>341332.17000000004</v>
      </c>
      <c r="F95" s="10">
        <f t="shared" si="4"/>
        <v>102.45380603279281</v>
      </c>
    </row>
    <row r="96" spans="1:6" ht="54">
      <c r="A96" s="29" t="s">
        <v>70</v>
      </c>
      <c r="B96" s="54" t="s">
        <v>26</v>
      </c>
      <c r="C96" s="36">
        <v>21000</v>
      </c>
      <c r="D96" s="10">
        <f>D98</f>
        <v>17958.49</v>
      </c>
      <c r="E96" s="10">
        <f>E98</f>
        <v>19494.59</v>
      </c>
      <c r="F96" s="10">
        <f t="shared" si="4"/>
        <v>108.55361447426814</v>
      </c>
    </row>
    <row r="97" spans="1:6" ht="54">
      <c r="A97" s="40" t="s">
        <v>439</v>
      </c>
      <c r="B97" s="58" t="s">
        <v>26</v>
      </c>
      <c r="C97" s="41">
        <v>21000</v>
      </c>
      <c r="D97" s="10">
        <v>0</v>
      </c>
      <c r="E97" s="10">
        <v>0</v>
      </c>
      <c r="F97" s="10">
        <v>0</v>
      </c>
    </row>
    <row r="98" spans="1:6" ht="120" customHeight="1">
      <c r="A98" s="31" t="s">
        <v>375</v>
      </c>
      <c r="B98" s="54" t="s">
        <v>373</v>
      </c>
      <c r="C98" s="36">
        <v>0</v>
      </c>
      <c r="D98" s="10">
        <f>D99</f>
        <v>17958.49</v>
      </c>
      <c r="E98" s="10">
        <f>E99</f>
        <v>19494.59</v>
      </c>
      <c r="F98" s="10">
        <f t="shared" si="4"/>
        <v>108.55361447426814</v>
      </c>
    </row>
    <row r="99" spans="1:6" ht="120.75" customHeight="1">
      <c r="A99" s="29" t="s">
        <v>374</v>
      </c>
      <c r="B99" s="54" t="s">
        <v>373</v>
      </c>
      <c r="C99" s="36">
        <v>0</v>
      </c>
      <c r="D99" s="10">
        <f>21000-7000-4000+1000+301.35+5857.14+800</f>
        <v>17958.49</v>
      </c>
      <c r="E99" s="10">
        <v>19494.59</v>
      </c>
      <c r="F99" s="10">
        <f t="shared" si="4"/>
        <v>108.55361447426814</v>
      </c>
    </row>
    <row r="100" spans="1:6" ht="40.5" customHeight="1">
      <c r="A100" s="40" t="s">
        <v>418</v>
      </c>
      <c r="B100" s="58" t="s">
        <v>419</v>
      </c>
      <c r="C100" s="36">
        <v>8000</v>
      </c>
      <c r="D100" s="10">
        <v>0</v>
      </c>
      <c r="E100" s="10">
        <v>0</v>
      </c>
      <c r="F100" s="10">
        <v>0</v>
      </c>
    </row>
    <row r="101" spans="1:6" ht="40.5" customHeight="1">
      <c r="A101" s="40" t="s">
        <v>420</v>
      </c>
      <c r="B101" s="58" t="s">
        <v>419</v>
      </c>
      <c r="C101" s="36">
        <v>8000</v>
      </c>
      <c r="D101" s="10">
        <v>0</v>
      </c>
      <c r="E101" s="10">
        <v>0</v>
      </c>
      <c r="F101" s="10">
        <v>0</v>
      </c>
    </row>
    <row r="102" spans="1:6" ht="36">
      <c r="A102" s="29" t="s">
        <v>71</v>
      </c>
      <c r="B102" s="54" t="s">
        <v>27</v>
      </c>
      <c r="C102" s="36">
        <v>135000</v>
      </c>
      <c r="D102" s="20">
        <f>D103+D107</f>
        <v>315198.65</v>
      </c>
      <c r="E102" s="20">
        <f>E103+E107</f>
        <v>321837.58</v>
      </c>
      <c r="F102" s="10">
        <f t="shared" si="4"/>
        <v>102.10626853890396</v>
      </c>
    </row>
    <row r="103" spans="1:6" ht="36">
      <c r="A103" s="29" t="s">
        <v>126</v>
      </c>
      <c r="B103" s="54" t="s">
        <v>170</v>
      </c>
      <c r="C103" s="36">
        <v>125000</v>
      </c>
      <c r="D103" s="20">
        <f>D105</f>
        <v>133000</v>
      </c>
      <c r="E103" s="20">
        <f>E105</f>
        <v>139828.2</v>
      </c>
      <c r="F103" s="10">
        <f t="shared" si="4"/>
        <v>105.13398496240602</v>
      </c>
    </row>
    <row r="104" spans="1:6" ht="36">
      <c r="A104" s="40" t="s">
        <v>437</v>
      </c>
      <c r="B104" s="58" t="s">
        <v>170</v>
      </c>
      <c r="C104" s="36">
        <v>125000</v>
      </c>
      <c r="D104" s="20">
        <v>0</v>
      </c>
      <c r="E104" s="20">
        <v>0</v>
      </c>
      <c r="F104" s="10">
        <v>0</v>
      </c>
    </row>
    <row r="105" spans="1:6" ht="126">
      <c r="A105" s="31" t="s">
        <v>376</v>
      </c>
      <c r="B105" s="54" t="s">
        <v>378</v>
      </c>
      <c r="C105" s="36">
        <v>0</v>
      </c>
      <c r="D105" s="20">
        <f>D106</f>
        <v>133000</v>
      </c>
      <c r="E105" s="20">
        <f>E106</f>
        <v>139828.2</v>
      </c>
      <c r="F105" s="10">
        <f t="shared" si="4"/>
        <v>105.13398496240602</v>
      </c>
    </row>
    <row r="106" spans="1:6" ht="126">
      <c r="A106" s="29" t="s">
        <v>377</v>
      </c>
      <c r="B106" s="54" t="s">
        <v>378</v>
      </c>
      <c r="C106" s="36">
        <v>0</v>
      </c>
      <c r="D106" s="20">
        <f>125000-67000+75000</f>
        <v>133000</v>
      </c>
      <c r="E106" s="15">
        <v>139828.2</v>
      </c>
      <c r="F106" s="10">
        <f t="shared" si="4"/>
        <v>105.13398496240602</v>
      </c>
    </row>
    <row r="107" spans="1:6" ht="36">
      <c r="A107" s="29" t="s">
        <v>136</v>
      </c>
      <c r="B107" s="54" t="s">
        <v>171</v>
      </c>
      <c r="C107" s="36">
        <v>10000</v>
      </c>
      <c r="D107" s="20">
        <f>D109</f>
        <v>182198.65</v>
      </c>
      <c r="E107" s="20">
        <f>E109</f>
        <v>182009.38</v>
      </c>
      <c r="F107" s="10">
        <f t="shared" si="4"/>
        <v>99.8961188790367</v>
      </c>
    </row>
    <row r="108" spans="1:6" ht="36">
      <c r="A108" s="40" t="s">
        <v>438</v>
      </c>
      <c r="B108" s="58" t="s">
        <v>171</v>
      </c>
      <c r="C108" s="36">
        <v>10000</v>
      </c>
      <c r="D108" s="20">
        <v>0</v>
      </c>
      <c r="E108" s="20">
        <v>0</v>
      </c>
      <c r="F108" s="10">
        <v>0</v>
      </c>
    </row>
    <row r="109" spans="1:6" ht="126">
      <c r="A109" s="31" t="s">
        <v>380</v>
      </c>
      <c r="B109" s="54" t="s">
        <v>379</v>
      </c>
      <c r="C109" s="36">
        <v>0</v>
      </c>
      <c r="D109" s="20">
        <f>D110</f>
        <v>182198.65</v>
      </c>
      <c r="E109" s="20">
        <f>E110</f>
        <v>182009.38</v>
      </c>
      <c r="F109" s="10">
        <f t="shared" si="4"/>
        <v>99.8961188790367</v>
      </c>
    </row>
    <row r="110" spans="1:6" ht="126">
      <c r="A110" s="29" t="s">
        <v>381</v>
      </c>
      <c r="B110" s="54" t="s">
        <v>379</v>
      </c>
      <c r="C110" s="36">
        <v>0</v>
      </c>
      <c r="D110" s="20">
        <f>10000+80000+80000-301.35+12500</f>
        <v>182198.65</v>
      </c>
      <c r="E110" s="15">
        <v>182009.38</v>
      </c>
      <c r="F110" s="10">
        <f t="shared" si="4"/>
        <v>99.8961188790367</v>
      </c>
    </row>
    <row r="111" spans="1:6" ht="51.75">
      <c r="A111" s="12" t="s">
        <v>28</v>
      </c>
      <c r="B111" s="60" t="s">
        <v>172</v>
      </c>
      <c r="C111" s="35">
        <v>519000</v>
      </c>
      <c r="D111" s="18">
        <f>D112+D117</f>
        <v>583977.3799999999</v>
      </c>
      <c r="E111" s="18">
        <f>E112+E117</f>
        <v>642295.18</v>
      </c>
      <c r="F111" s="18">
        <f t="shared" si="4"/>
        <v>109.98631145610472</v>
      </c>
    </row>
    <row r="112" spans="1:6" ht="36">
      <c r="A112" s="29" t="s">
        <v>41</v>
      </c>
      <c r="B112" s="55" t="s">
        <v>173</v>
      </c>
      <c r="C112" s="36">
        <v>509000</v>
      </c>
      <c r="D112" s="10">
        <f>D113</f>
        <v>264503.81</v>
      </c>
      <c r="E112" s="10">
        <f>E113</f>
        <v>269496.87</v>
      </c>
      <c r="F112" s="10">
        <f t="shared" si="4"/>
        <v>101.8877081581547</v>
      </c>
    </row>
    <row r="113" spans="1:6" ht="36">
      <c r="A113" s="29" t="s">
        <v>42</v>
      </c>
      <c r="B113" s="55" t="s">
        <v>174</v>
      </c>
      <c r="C113" s="36">
        <v>509000</v>
      </c>
      <c r="D113" s="10">
        <f>D114</f>
        <v>264503.81</v>
      </c>
      <c r="E113" s="10">
        <f>E114</f>
        <v>269496.87</v>
      </c>
      <c r="F113" s="10">
        <f t="shared" si="4"/>
        <v>101.8877081581547</v>
      </c>
    </row>
    <row r="114" spans="1:6" ht="54">
      <c r="A114" s="29" t="s">
        <v>29</v>
      </c>
      <c r="B114" s="55" t="s">
        <v>175</v>
      </c>
      <c r="C114" s="36">
        <v>509000</v>
      </c>
      <c r="D114" s="10">
        <f>SUM(D115:D116)</f>
        <v>264503.81</v>
      </c>
      <c r="E114" s="10">
        <f>SUM(E115:E116)</f>
        <v>269496.87</v>
      </c>
      <c r="F114" s="10">
        <f t="shared" si="4"/>
        <v>101.8877081581547</v>
      </c>
    </row>
    <row r="115" spans="1:6" ht="54">
      <c r="A115" s="29" t="s">
        <v>30</v>
      </c>
      <c r="B115" s="55" t="s">
        <v>175</v>
      </c>
      <c r="C115" s="36">
        <v>9000</v>
      </c>
      <c r="D115" s="14">
        <f>13000-4000-2250</f>
        <v>6750</v>
      </c>
      <c r="E115" s="15">
        <v>6750</v>
      </c>
      <c r="F115" s="10">
        <f t="shared" si="4"/>
        <v>100</v>
      </c>
    </row>
    <row r="116" spans="1:6" ht="54">
      <c r="A116" s="29" t="s">
        <v>31</v>
      </c>
      <c r="B116" s="55" t="s">
        <v>175</v>
      </c>
      <c r="C116" s="36">
        <v>500000</v>
      </c>
      <c r="D116" s="14">
        <f>500000-222700-20000+453.81</f>
        <v>257753.81</v>
      </c>
      <c r="E116" s="14">
        <v>262746.87</v>
      </c>
      <c r="F116" s="10">
        <f t="shared" si="4"/>
        <v>101.93714304358876</v>
      </c>
    </row>
    <row r="117" spans="1:6" ht="36">
      <c r="A117" s="29" t="s">
        <v>75</v>
      </c>
      <c r="B117" s="54" t="s">
        <v>176</v>
      </c>
      <c r="C117" s="36">
        <v>10000</v>
      </c>
      <c r="D117" s="14">
        <f>D118</f>
        <v>319473.56999999995</v>
      </c>
      <c r="E117" s="14">
        <f>E118</f>
        <v>372798.31000000006</v>
      </c>
      <c r="F117" s="10">
        <f t="shared" si="4"/>
        <v>116.6914402340075</v>
      </c>
    </row>
    <row r="118" spans="1:6" ht="36">
      <c r="A118" s="21" t="s">
        <v>76</v>
      </c>
      <c r="B118" s="54" t="s">
        <v>177</v>
      </c>
      <c r="C118" s="36">
        <v>10000</v>
      </c>
      <c r="D118" s="14">
        <f>D119</f>
        <v>319473.56999999995</v>
      </c>
      <c r="E118" s="14">
        <f>E119</f>
        <v>372798.31000000006</v>
      </c>
      <c r="F118" s="10">
        <f t="shared" si="4"/>
        <v>116.6914402340075</v>
      </c>
    </row>
    <row r="119" spans="1:6" ht="36">
      <c r="A119" s="21" t="s">
        <v>77</v>
      </c>
      <c r="B119" s="54" t="s">
        <v>85</v>
      </c>
      <c r="C119" s="36">
        <v>10000</v>
      </c>
      <c r="D119" s="14">
        <f>SUM(D120:D122)</f>
        <v>319473.56999999995</v>
      </c>
      <c r="E119" s="14">
        <f>SUM(E120:E122)</f>
        <v>372798.31000000006</v>
      </c>
      <c r="F119" s="10">
        <f t="shared" si="4"/>
        <v>116.6914402340075</v>
      </c>
    </row>
    <row r="120" spans="1:6" ht="36">
      <c r="A120" s="21" t="s">
        <v>225</v>
      </c>
      <c r="B120" s="54" t="s">
        <v>85</v>
      </c>
      <c r="C120" s="36">
        <v>0</v>
      </c>
      <c r="D120" s="14">
        <f>5423.31+86584.29</f>
        <v>92007.59999999999</v>
      </c>
      <c r="E120" s="14">
        <v>92007.6</v>
      </c>
      <c r="F120" s="10">
        <f t="shared" si="4"/>
        <v>100.00000000000003</v>
      </c>
    </row>
    <row r="121" spans="1:6" ht="36">
      <c r="A121" s="21" t="s">
        <v>382</v>
      </c>
      <c r="B121" s="54" t="s">
        <v>85</v>
      </c>
      <c r="C121" s="36">
        <v>0</v>
      </c>
      <c r="D121" s="14">
        <f>3031.03+69515.85</f>
        <v>72546.88</v>
      </c>
      <c r="E121" s="14">
        <v>81007.61</v>
      </c>
      <c r="F121" s="10">
        <f t="shared" si="4"/>
        <v>111.66243124445876</v>
      </c>
    </row>
    <row r="122" spans="1:6" ht="36">
      <c r="A122" s="21" t="s">
        <v>90</v>
      </c>
      <c r="B122" s="54" t="s">
        <v>85</v>
      </c>
      <c r="C122" s="36">
        <v>10000</v>
      </c>
      <c r="D122" s="14">
        <f>10000+105633.55+35285.54+4000</f>
        <v>154919.09</v>
      </c>
      <c r="E122" s="14">
        <v>199783.1</v>
      </c>
      <c r="F122" s="10">
        <f t="shared" si="4"/>
        <v>128.95963951247066</v>
      </c>
    </row>
    <row r="123" spans="1:6" ht="51.75">
      <c r="A123" s="12" t="s">
        <v>32</v>
      </c>
      <c r="B123" s="53" t="s">
        <v>178</v>
      </c>
      <c r="C123" s="35">
        <v>270000</v>
      </c>
      <c r="D123" s="18">
        <f>D124+D128</f>
        <v>1167887.6300000001</v>
      </c>
      <c r="E123" s="18">
        <f>E124+E128</f>
        <v>1169594.7200000002</v>
      </c>
      <c r="F123" s="18">
        <f t="shared" si="4"/>
        <v>100.14616902826516</v>
      </c>
    </row>
    <row r="124" spans="1:6" ht="148.5" customHeight="1">
      <c r="A124" s="29" t="s">
        <v>33</v>
      </c>
      <c r="B124" s="55" t="s">
        <v>179</v>
      </c>
      <c r="C124" s="36">
        <v>200000</v>
      </c>
      <c r="D124" s="14">
        <f aca="true" t="shared" si="5" ref="D124:E126">D125</f>
        <v>648799.17</v>
      </c>
      <c r="E124" s="14">
        <f t="shared" si="5"/>
        <v>648799.17</v>
      </c>
      <c r="F124" s="10">
        <f t="shared" si="4"/>
        <v>100</v>
      </c>
    </row>
    <row r="125" spans="1:6" ht="170.25" customHeight="1">
      <c r="A125" s="29" t="s">
        <v>72</v>
      </c>
      <c r="B125" s="55" t="s">
        <v>180</v>
      </c>
      <c r="C125" s="36">
        <v>200000</v>
      </c>
      <c r="D125" s="14">
        <f t="shared" si="5"/>
        <v>648799.17</v>
      </c>
      <c r="E125" s="14">
        <f t="shared" si="5"/>
        <v>648799.17</v>
      </c>
      <c r="F125" s="10">
        <f t="shared" si="4"/>
        <v>100</v>
      </c>
    </row>
    <row r="126" spans="1:6" ht="170.25" customHeight="1">
      <c r="A126" s="29" t="s">
        <v>73</v>
      </c>
      <c r="B126" s="55" t="s">
        <v>181</v>
      </c>
      <c r="C126" s="36">
        <v>200000</v>
      </c>
      <c r="D126" s="14">
        <f t="shared" si="5"/>
        <v>648799.17</v>
      </c>
      <c r="E126" s="14">
        <f t="shared" si="5"/>
        <v>648799.17</v>
      </c>
      <c r="F126" s="10">
        <f t="shared" si="4"/>
        <v>100</v>
      </c>
    </row>
    <row r="127" spans="1:6" ht="170.25" customHeight="1">
      <c r="A127" s="29" t="s">
        <v>34</v>
      </c>
      <c r="B127" s="55" t="s">
        <v>181</v>
      </c>
      <c r="C127" s="36">
        <v>200000</v>
      </c>
      <c r="D127" s="14">
        <f>200000+444550+4249.17</f>
        <v>648799.17</v>
      </c>
      <c r="E127" s="14">
        <v>648799.17</v>
      </c>
      <c r="F127" s="10">
        <f t="shared" si="4"/>
        <v>100</v>
      </c>
    </row>
    <row r="128" spans="1:6" ht="62.25" customHeight="1">
      <c r="A128" s="29" t="s">
        <v>35</v>
      </c>
      <c r="B128" s="54" t="s">
        <v>182</v>
      </c>
      <c r="C128" s="36">
        <v>70000</v>
      </c>
      <c r="D128" s="20">
        <f>D129</f>
        <v>519088.46</v>
      </c>
      <c r="E128" s="20">
        <f>E129</f>
        <v>520795.55000000005</v>
      </c>
      <c r="F128" s="10">
        <f t="shared" si="4"/>
        <v>100.32886302269175</v>
      </c>
    </row>
    <row r="129" spans="1:6" ht="60" customHeight="1">
      <c r="A129" s="29" t="s">
        <v>43</v>
      </c>
      <c r="B129" s="57" t="s">
        <v>96</v>
      </c>
      <c r="C129" s="36">
        <v>70000</v>
      </c>
      <c r="D129" s="20">
        <f>D132+D130</f>
        <v>519088.46</v>
      </c>
      <c r="E129" s="20">
        <f>E132+E130</f>
        <v>520795.55000000005</v>
      </c>
      <c r="F129" s="10">
        <f t="shared" si="4"/>
        <v>100.32886302269175</v>
      </c>
    </row>
    <row r="130" spans="1:6" ht="108">
      <c r="A130" s="29" t="s">
        <v>94</v>
      </c>
      <c r="B130" s="54" t="s">
        <v>183</v>
      </c>
      <c r="C130" s="36">
        <v>30000</v>
      </c>
      <c r="D130" s="20">
        <f>D131</f>
        <v>351712.46</v>
      </c>
      <c r="E130" s="20">
        <f>E131</f>
        <v>357694.58</v>
      </c>
      <c r="F130" s="10">
        <f t="shared" si="4"/>
        <v>101.70085529526023</v>
      </c>
    </row>
    <row r="131" spans="1:6" ht="114" customHeight="1">
      <c r="A131" s="29" t="s">
        <v>95</v>
      </c>
      <c r="B131" s="54" t="s">
        <v>183</v>
      </c>
      <c r="C131" s="36">
        <v>30000</v>
      </c>
      <c r="D131" s="20">
        <f>30000-15000+50921.11+35031.96+6588.39+244171</f>
        <v>351712.46</v>
      </c>
      <c r="E131" s="20">
        <v>357694.58</v>
      </c>
      <c r="F131" s="10">
        <f t="shared" si="4"/>
        <v>101.70085529526023</v>
      </c>
    </row>
    <row r="132" spans="1:6" ht="90">
      <c r="A132" s="29" t="s">
        <v>82</v>
      </c>
      <c r="B132" s="57" t="s">
        <v>184</v>
      </c>
      <c r="C132" s="36">
        <v>40000</v>
      </c>
      <c r="D132" s="20">
        <f>D133</f>
        <v>167376</v>
      </c>
      <c r="E132" s="20">
        <f>E133</f>
        <v>163100.97</v>
      </c>
      <c r="F132" s="10">
        <f t="shared" si="4"/>
        <v>97.44585245196444</v>
      </c>
    </row>
    <row r="133" spans="1:6" ht="90">
      <c r="A133" s="29" t="s">
        <v>81</v>
      </c>
      <c r="B133" s="57" t="s">
        <v>184</v>
      </c>
      <c r="C133" s="36">
        <v>40000</v>
      </c>
      <c r="D133" s="20">
        <f>40000+17476+116400-6500</f>
        <v>167376</v>
      </c>
      <c r="E133" s="15">
        <v>163100.97</v>
      </c>
      <c r="F133" s="10">
        <f t="shared" si="4"/>
        <v>97.44585245196444</v>
      </c>
    </row>
    <row r="134" spans="1:6" ht="34.5">
      <c r="A134" s="12" t="s">
        <v>36</v>
      </c>
      <c r="B134" s="53" t="s">
        <v>185</v>
      </c>
      <c r="C134" s="35">
        <v>504000</v>
      </c>
      <c r="D134" s="18">
        <f>D135+D176+D185</f>
        <v>253661.27999999997</v>
      </c>
      <c r="E134" s="18">
        <f>E135+E176+E185</f>
        <v>259851.75</v>
      </c>
      <c r="F134" s="18">
        <f t="shared" si="4"/>
        <v>102.44044735562323</v>
      </c>
    </row>
    <row r="135" spans="1:6" ht="72">
      <c r="A135" s="29" t="s">
        <v>141</v>
      </c>
      <c r="B135" s="54" t="s">
        <v>186</v>
      </c>
      <c r="C135" s="36">
        <v>287000</v>
      </c>
      <c r="D135" s="10">
        <f>D143+D148+D151+D158+D164+D172+D136+D167+D161+D155</f>
        <v>90531.15</v>
      </c>
      <c r="E135" s="10">
        <f>E143+E148+E151+E158+E164+E172+E136+E167+E161+E155</f>
        <v>96199.53</v>
      </c>
      <c r="F135" s="10">
        <f t="shared" si="4"/>
        <v>106.26124820020513</v>
      </c>
    </row>
    <row r="136" spans="1:6" ht="126">
      <c r="A136" s="29" t="s">
        <v>317</v>
      </c>
      <c r="B136" s="54" t="s">
        <v>324</v>
      </c>
      <c r="C136" s="36">
        <v>0</v>
      </c>
      <c r="D136" s="10">
        <f>D137</f>
        <v>18028.46</v>
      </c>
      <c r="E136" s="10">
        <f>E137</f>
        <v>18604.620000000003</v>
      </c>
      <c r="F136" s="10">
        <f t="shared" si="4"/>
        <v>103.19583591721091</v>
      </c>
    </row>
    <row r="137" spans="1:6" ht="180">
      <c r="A137" s="29" t="s">
        <v>318</v>
      </c>
      <c r="B137" s="62" t="s">
        <v>325</v>
      </c>
      <c r="C137" s="36">
        <v>0</v>
      </c>
      <c r="D137" s="10">
        <f>SUM(D138+D139)</f>
        <v>18028.46</v>
      </c>
      <c r="E137" s="10">
        <f>SUM(E138+E139)</f>
        <v>18604.620000000003</v>
      </c>
      <c r="F137" s="10">
        <f t="shared" si="4"/>
        <v>103.19583591721091</v>
      </c>
    </row>
    <row r="138" spans="1:6" ht="180">
      <c r="A138" s="29" t="s">
        <v>319</v>
      </c>
      <c r="B138" s="62" t="s">
        <v>325</v>
      </c>
      <c r="C138" s="36">
        <v>0</v>
      </c>
      <c r="D138" s="10">
        <f>50+672+8270.56+2501.88-3019.2+6553.22</f>
        <v>15028.46</v>
      </c>
      <c r="E138" s="10">
        <v>15604.62</v>
      </c>
      <c r="F138" s="10">
        <f t="shared" si="4"/>
        <v>103.8337926840142</v>
      </c>
    </row>
    <row r="139" spans="1:6" ht="180">
      <c r="A139" s="29" t="s">
        <v>320</v>
      </c>
      <c r="B139" s="62" t="s">
        <v>325</v>
      </c>
      <c r="C139" s="36">
        <v>0</v>
      </c>
      <c r="D139" s="10">
        <f>500+2500</f>
        <v>3000</v>
      </c>
      <c r="E139" s="10">
        <v>3000</v>
      </c>
      <c r="F139" s="10">
        <f t="shared" si="4"/>
        <v>100</v>
      </c>
    </row>
    <row r="140" spans="1:6" ht="162">
      <c r="A140" s="40" t="s">
        <v>421</v>
      </c>
      <c r="B140" s="58" t="s">
        <v>422</v>
      </c>
      <c r="C140" s="36">
        <v>12000</v>
      </c>
      <c r="D140" s="10">
        <v>0</v>
      </c>
      <c r="E140" s="10">
        <v>0</v>
      </c>
      <c r="F140" s="10">
        <v>0</v>
      </c>
    </row>
    <row r="141" spans="1:6" ht="198">
      <c r="A141" s="34" t="s">
        <v>423</v>
      </c>
      <c r="B141" s="62" t="s">
        <v>424</v>
      </c>
      <c r="C141" s="36">
        <v>12000</v>
      </c>
      <c r="D141" s="10">
        <v>0</v>
      </c>
      <c r="E141" s="10">
        <v>0</v>
      </c>
      <c r="F141" s="10">
        <v>0</v>
      </c>
    </row>
    <row r="142" spans="1:6" ht="198">
      <c r="A142" s="34" t="s">
        <v>425</v>
      </c>
      <c r="B142" s="62" t="s">
        <v>424</v>
      </c>
      <c r="C142" s="36">
        <v>12000</v>
      </c>
      <c r="D142" s="10">
        <v>0</v>
      </c>
      <c r="E142" s="10">
        <v>0</v>
      </c>
      <c r="F142" s="10">
        <v>0</v>
      </c>
    </row>
    <row r="143" spans="1:6" ht="126">
      <c r="A143" s="29" t="s">
        <v>279</v>
      </c>
      <c r="B143" s="54" t="s">
        <v>280</v>
      </c>
      <c r="C143" s="36">
        <v>0</v>
      </c>
      <c r="D143" s="10">
        <f>D144+D146</f>
        <v>9300</v>
      </c>
      <c r="E143" s="10">
        <f>E144+E146</f>
        <v>9914.51</v>
      </c>
      <c r="F143" s="10">
        <f t="shared" si="4"/>
        <v>106.60763440860215</v>
      </c>
    </row>
    <row r="144" spans="1:6" ht="180">
      <c r="A144" s="29" t="s">
        <v>281</v>
      </c>
      <c r="B144" s="62" t="s">
        <v>282</v>
      </c>
      <c r="C144" s="36">
        <v>0</v>
      </c>
      <c r="D144" s="10">
        <f>D145</f>
        <v>4300</v>
      </c>
      <c r="E144" s="10">
        <f>E145</f>
        <v>4414.51</v>
      </c>
      <c r="F144" s="10">
        <f t="shared" si="4"/>
        <v>102.66302325581395</v>
      </c>
    </row>
    <row r="145" spans="1:6" ht="180">
      <c r="A145" s="29" t="s">
        <v>283</v>
      </c>
      <c r="B145" s="62" t="s">
        <v>282</v>
      </c>
      <c r="C145" s="36">
        <v>0</v>
      </c>
      <c r="D145" s="10">
        <f>500+1000+500+2300</f>
        <v>4300</v>
      </c>
      <c r="E145" s="10">
        <v>4414.51</v>
      </c>
      <c r="F145" s="10">
        <f t="shared" si="4"/>
        <v>102.66302325581395</v>
      </c>
    </row>
    <row r="146" spans="1:6" ht="162">
      <c r="A146" s="31" t="s">
        <v>383</v>
      </c>
      <c r="B146" s="62" t="s">
        <v>385</v>
      </c>
      <c r="C146" s="36">
        <v>0</v>
      </c>
      <c r="D146" s="10">
        <f>D147</f>
        <v>5000</v>
      </c>
      <c r="E146" s="10">
        <f>E147</f>
        <v>5500</v>
      </c>
      <c r="F146" s="10">
        <f t="shared" si="4"/>
        <v>110.00000000000001</v>
      </c>
    </row>
    <row r="147" spans="1:6" ht="180">
      <c r="A147" s="31" t="s">
        <v>384</v>
      </c>
      <c r="B147" s="62" t="s">
        <v>386</v>
      </c>
      <c r="C147" s="36">
        <v>0</v>
      </c>
      <c r="D147" s="10">
        <v>5000</v>
      </c>
      <c r="E147" s="10">
        <v>5500</v>
      </c>
      <c r="F147" s="10">
        <f aca="true" t="shared" si="6" ref="F147:F213">E147/D147*100</f>
        <v>110.00000000000001</v>
      </c>
    </row>
    <row r="148" spans="1:6" ht="144">
      <c r="A148" s="29" t="s">
        <v>284</v>
      </c>
      <c r="B148" s="54" t="s">
        <v>285</v>
      </c>
      <c r="C148" s="36">
        <v>0</v>
      </c>
      <c r="D148" s="10">
        <f>D149</f>
        <v>250</v>
      </c>
      <c r="E148" s="10">
        <f>E149</f>
        <v>250</v>
      </c>
      <c r="F148" s="10">
        <f t="shared" si="6"/>
        <v>100</v>
      </c>
    </row>
    <row r="149" spans="1:6" ht="180">
      <c r="A149" s="29" t="s">
        <v>286</v>
      </c>
      <c r="B149" s="62" t="s">
        <v>287</v>
      </c>
      <c r="C149" s="36">
        <v>0</v>
      </c>
      <c r="D149" s="10">
        <f>D150</f>
        <v>250</v>
      </c>
      <c r="E149" s="10">
        <f>E150</f>
        <v>250</v>
      </c>
      <c r="F149" s="10">
        <f t="shared" si="6"/>
        <v>100</v>
      </c>
    </row>
    <row r="150" spans="1:6" ht="180">
      <c r="A150" s="29" t="s">
        <v>288</v>
      </c>
      <c r="B150" s="62" t="s">
        <v>287</v>
      </c>
      <c r="C150" s="36">
        <v>0</v>
      </c>
      <c r="D150" s="10">
        <v>250</v>
      </c>
      <c r="E150" s="10">
        <v>250</v>
      </c>
      <c r="F150" s="10">
        <f t="shared" si="6"/>
        <v>100</v>
      </c>
    </row>
    <row r="151" spans="1:6" ht="144">
      <c r="A151" s="29" t="s">
        <v>289</v>
      </c>
      <c r="B151" s="54" t="s">
        <v>290</v>
      </c>
      <c r="C151" s="36">
        <v>0</v>
      </c>
      <c r="D151" s="10">
        <f>D152</f>
        <v>3000</v>
      </c>
      <c r="E151" s="10">
        <f>E152</f>
        <v>3000</v>
      </c>
      <c r="F151" s="10">
        <f t="shared" si="6"/>
        <v>100</v>
      </c>
    </row>
    <row r="152" spans="1:6" ht="180">
      <c r="A152" s="30" t="s">
        <v>291</v>
      </c>
      <c r="B152" s="62" t="s">
        <v>292</v>
      </c>
      <c r="C152" s="36">
        <v>0</v>
      </c>
      <c r="D152" s="10">
        <f>D153</f>
        <v>3000</v>
      </c>
      <c r="E152" s="10">
        <f>E153</f>
        <v>3000</v>
      </c>
      <c r="F152" s="10">
        <f t="shared" si="6"/>
        <v>100</v>
      </c>
    </row>
    <row r="153" spans="1:6" ht="180">
      <c r="A153" s="30" t="s">
        <v>293</v>
      </c>
      <c r="B153" s="62" t="s">
        <v>292</v>
      </c>
      <c r="C153" s="36">
        <v>0</v>
      </c>
      <c r="D153" s="10">
        <f>1000+2000</f>
        <v>3000</v>
      </c>
      <c r="E153" s="10">
        <v>3000</v>
      </c>
      <c r="F153" s="10">
        <f t="shared" si="6"/>
        <v>100</v>
      </c>
    </row>
    <row r="154" spans="1:6" ht="126">
      <c r="A154" s="34" t="s">
        <v>426</v>
      </c>
      <c r="B154" s="54" t="s">
        <v>427</v>
      </c>
      <c r="C154" s="36">
        <v>275000</v>
      </c>
      <c r="D154" s="10">
        <v>0</v>
      </c>
      <c r="E154" s="10">
        <v>0</v>
      </c>
      <c r="F154" s="10">
        <v>0</v>
      </c>
    </row>
    <row r="155" spans="1:6" ht="126">
      <c r="A155" s="32" t="s">
        <v>405</v>
      </c>
      <c r="B155" s="62" t="s">
        <v>406</v>
      </c>
      <c r="C155" s="36">
        <v>0</v>
      </c>
      <c r="D155" s="10">
        <f>D156</f>
        <v>0</v>
      </c>
      <c r="E155" s="10">
        <f>E156</f>
        <v>3000</v>
      </c>
      <c r="F155" s="10">
        <v>0</v>
      </c>
    </row>
    <row r="156" spans="1:6" ht="162">
      <c r="A156" s="32" t="s">
        <v>407</v>
      </c>
      <c r="B156" s="62" t="s">
        <v>408</v>
      </c>
      <c r="C156" s="36">
        <v>0</v>
      </c>
      <c r="D156" s="10">
        <f>D157</f>
        <v>0</v>
      </c>
      <c r="E156" s="10">
        <f>E157</f>
        <v>3000</v>
      </c>
      <c r="F156" s="10">
        <v>0</v>
      </c>
    </row>
    <row r="157" spans="1:6" ht="162">
      <c r="A157" s="32" t="s">
        <v>409</v>
      </c>
      <c r="B157" s="62" t="s">
        <v>408</v>
      </c>
      <c r="C157" s="36">
        <v>0</v>
      </c>
      <c r="D157" s="10">
        <v>0</v>
      </c>
      <c r="E157" s="10">
        <v>3000</v>
      </c>
      <c r="F157" s="10">
        <v>0</v>
      </c>
    </row>
    <row r="158" spans="1:6" ht="144">
      <c r="A158" s="30" t="s">
        <v>294</v>
      </c>
      <c r="B158" s="54" t="s">
        <v>295</v>
      </c>
      <c r="C158" s="36">
        <v>0</v>
      </c>
      <c r="D158" s="10">
        <f>D159</f>
        <v>11950</v>
      </c>
      <c r="E158" s="10">
        <f>E159</f>
        <v>12350</v>
      </c>
      <c r="F158" s="10">
        <f t="shared" si="6"/>
        <v>103.34728033472804</v>
      </c>
    </row>
    <row r="159" spans="1:6" ht="234">
      <c r="A159" s="30" t="s">
        <v>296</v>
      </c>
      <c r="B159" s="62" t="s">
        <v>297</v>
      </c>
      <c r="C159" s="36">
        <v>0</v>
      </c>
      <c r="D159" s="10">
        <f>D160</f>
        <v>11950</v>
      </c>
      <c r="E159" s="10">
        <f>E160</f>
        <v>12350</v>
      </c>
      <c r="F159" s="10">
        <f t="shared" si="6"/>
        <v>103.34728033472804</v>
      </c>
    </row>
    <row r="160" spans="1:6" ht="234">
      <c r="A160" s="30" t="s">
        <v>298</v>
      </c>
      <c r="B160" s="62" t="s">
        <v>297</v>
      </c>
      <c r="C160" s="36">
        <v>0</v>
      </c>
      <c r="D160" s="10">
        <f>450+150+10500.01+849.99</f>
        <v>11950</v>
      </c>
      <c r="E160" s="10">
        <v>12350</v>
      </c>
      <c r="F160" s="10">
        <f t="shared" si="6"/>
        <v>103.34728033472804</v>
      </c>
    </row>
    <row r="161" spans="1:6" ht="144">
      <c r="A161" s="30" t="s">
        <v>368</v>
      </c>
      <c r="B161" s="62" t="s">
        <v>369</v>
      </c>
      <c r="C161" s="36">
        <v>0</v>
      </c>
      <c r="D161" s="10">
        <f>D162</f>
        <v>1750</v>
      </c>
      <c r="E161" s="10">
        <f>E162</f>
        <v>1750</v>
      </c>
      <c r="F161" s="10">
        <f t="shared" si="6"/>
        <v>100</v>
      </c>
    </row>
    <row r="162" spans="1:6" ht="180">
      <c r="A162" s="30" t="s">
        <v>370</v>
      </c>
      <c r="B162" s="62" t="s">
        <v>371</v>
      </c>
      <c r="C162" s="36">
        <v>0</v>
      </c>
      <c r="D162" s="10">
        <f>D163</f>
        <v>1750</v>
      </c>
      <c r="E162" s="10">
        <f>E163</f>
        <v>1750</v>
      </c>
      <c r="F162" s="10">
        <f t="shared" si="6"/>
        <v>100</v>
      </c>
    </row>
    <row r="163" spans="1:6" ht="180">
      <c r="A163" s="30" t="s">
        <v>372</v>
      </c>
      <c r="B163" s="62" t="s">
        <v>371</v>
      </c>
      <c r="C163" s="36">
        <v>0</v>
      </c>
      <c r="D163" s="10">
        <f>500+1250</f>
        <v>1750</v>
      </c>
      <c r="E163" s="10">
        <v>1750</v>
      </c>
      <c r="F163" s="10">
        <f t="shared" si="6"/>
        <v>100</v>
      </c>
    </row>
    <row r="164" spans="1:6" ht="198">
      <c r="A164" s="30" t="s">
        <v>299</v>
      </c>
      <c r="B164" s="62" t="s">
        <v>300</v>
      </c>
      <c r="C164" s="36">
        <v>0</v>
      </c>
      <c r="D164" s="10">
        <f>D165</f>
        <v>2000</v>
      </c>
      <c r="E164" s="10">
        <f>E165</f>
        <v>2000</v>
      </c>
      <c r="F164" s="10">
        <f t="shared" si="6"/>
        <v>100</v>
      </c>
    </row>
    <row r="165" spans="1:6" ht="252">
      <c r="A165" s="30" t="s">
        <v>301</v>
      </c>
      <c r="B165" s="62" t="s">
        <v>302</v>
      </c>
      <c r="C165" s="36">
        <v>0</v>
      </c>
      <c r="D165" s="10">
        <f>D166</f>
        <v>2000</v>
      </c>
      <c r="E165" s="10">
        <f>E166</f>
        <v>2000</v>
      </c>
      <c r="F165" s="10">
        <f t="shared" si="6"/>
        <v>100</v>
      </c>
    </row>
    <row r="166" spans="1:6" ht="252">
      <c r="A166" s="30" t="s">
        <v>303</v>
      </c>
      <c r="B166" s="62" t="s">
        <v>302</v>
      </c>
      <c r="C166" s="36">
        <v>0</v>
      </c>
      <c r="D166" s="10">
        <v>2000</v>
      </c>
      <c r="E166" s="10">
        <v>2000</v>
      </c>
      <c r="F166" s="10">
        <f t="shared" si="6"/>
        <v>100</v>
      </c>
    </row>
    <row r="167" spans="1:6" ht="108">
      <c r="A167" s="30" t="s">
        <v>142</v>
      </c>
      <c r="B167" s="62" t="s">
        <v>329</v>
      </c>
      <c r="C167" s="36">
        <v>275000</v>
      </c>
      <c r="D167" s="10">
        <f>D168</f>
        <v>16547.690000000002</v>
      </c>
      <c r="E167" s="10">
        <f>E168</f>
        <v>17088.19</v>
      </c>
      <c r="F167" s="10">
        <f t="shared" si="6"/>
        <v>103.26631693003674</v>
      </c>
    </row>
    <row r="168" spans="1:6" ht="144">
      <c r="A168" s="30" t="s">
        <v>140</v>
      </c>
      <c r="B168" s="62" t="s">
        <v>330</v>
      </c>
      <c r="C168" s="36">
        <v>275000</v>
      </c>
      <c r="D168" s="10">
        <f>SUM(D169:D169)</f>
        <v>16547.690000000002</v>
      </c>
      <c r="E168" s="10">
        <f>SUM(E169:E169)</f>
        <v>17088.19</v>
      </c>
      <c r="F168" s="10">
        <f t="shared" si="6"/>
        <v>103.26631693003674</v>
      </c>
    </row>
    <row r="169" spans="1:6" ht="144">
      <c r="A169" s="30" t="s">
        <v>321</v>
      </c>
      <c r="B169" s="62" t="s">
        <v>330</v>
      </c>
      <c r="C169" s="36">
        <v>0</v>
      </c>
      <c r="D169" s="10">
        <f>6000+1500+300.2+1500+7247.49</f>
        <v>16547.690000000002</v>
      </c>
      <c r="E169" s="10">
        <v>17088.19</v>
      </c>
      <c r="F169" s="10">
        <f t="shared" si="6"/>
        <v>103.26631693003674</v>
      </c>
    </row>
    <row r="170" spans="1:6" ht="144">
      <c r="A170" s="34" t="s">
        <v>428</v>
      </c>
      <c r="B170" s="62" t="s">
        <v>429</v>
      </c>
      <c r="C170" s="10">
        <v>270000</v>
      </c>
      <c r="D170" s="10">
        <v>0</v>
      </c>
      <c r="E170" s="10">
        <v>0</v>
      </c>
      <c r="F170" s="10">
        <v>0</v>
      </c>
    </row>
    <row r="171" spans="1:6" ht="144">
      <c r="A171" s="34" t="s">
        <v>430</v>
      </c>
      <c r="B171" s="62" t="s">
        <v>429</v>
      </c>
      <c r="C171" s="10">
        <v>5000</v>
      </c>
      <c r="D171" s="10">
        <v>0</v>
      </c>
      <c r="E171" s="10">
        <v>0</v>
      </c>
      <c r="F171" s="10">
        <v>0</v>
      </c>
    </row>
    <row r="172" spans="1:6" ht="144">
      <c r="A172" s="30" t="s">
        <v>304</v>
      </c>
      <c r="B172" s="54" t="s">
        <v>305</v>
      </c>
      <c r="C172" s="36">
        <v>0</v>
      </c>
      <c r="D172" s="10">
        <f>D173</f>
        <v>27705</v>
      </c>
      <c r="E172" s="10">
        <f>E173</f>
        <v>28242.21</v>
      </c>
      <c r="F172" s="10">
        <f t="shared" si="6"/>
        <v>101.93903627504059</v>
      </c>
    </row>
    <row r="173" spans="1:6" ht="180">
      <c r="A173" s="30" t="s">
        <v>306</v>
      </c>
      <c r="B173" s="62" t="s">
        <v>307</v>
      </c>
      <c r="C173" s="36">
        <v>0</v>
      </c>
      <c r="D173" s="10">
        <f>SUM(D174:D175)</f>
        <v>27705</v>
      </c>
      <c r="E173" s="10">
        <f>SUM(E174:E175)</f>
        <v>28242.21</v>
      </c>
      <c r="F173" s="10">
        <f t="shared" si="6"/>
        <v>101.93903627504059</v>
      </c>
    </row>
    <row r="174" spans="1:6" ht="180">
      <c r="A174" s="30" t="s">
        <v>308</v>
      </c>
      <c r="B174" s="62" t="s">
        <v>307</v>
      </c>
      <c r="C174" s="36">
        <v>0</v>
      </c>
      <c r="D174" s="10">
        <f>1250+1310+1750+1750+1750+3775+750</f>
        <v>12335</v>
      </c>
      <c r="E174" s="10">
        <v>12335</v>
      </c>
      <c r="F174" s="10">
        <f t="shared" si="6"/>
        <v>100</v>
      </c>
    </row>
    <row r="175" spans="1:6" ht="180">
      <c r="A175" s="30" t="s">
        <v>309</v>
      </c>
      <c r="B175" s="62" t="s">
        <v>307</v>
      </c>
      <c r="C175" s="36">
        <v>0</v>
      </c>
      <c r="D175" s="10">
        <f>550+3000+1000+3020+3000+4300+500</f>
        <v>15370</v>
      </c>
      <c r="E175" s="10">
        <v>15907.21</v>
      </c>
      <c r="F175" s="10">
        <f t="shared" si="6"/>
        <v>103.49518542615483</v>
      </c>
    </row>
    <row r="176" spans="1:6" ht="234">
      <c r="A176" s="31" t="s">
        <v>388</v>
      </c>
      <c r="B176" s="62" t="s">
        <v>389</v>
      </c>
      <c r="C176" s="36">
        <v>0</v>
      </c>
      <c r="D176" s="10">
        <f>D177+D181</f>
        <v>30163.06</v>
      </c>
      <c r="E176" s="10">
        <f>E177+E181</f>
        <v>29466.81</v>
      </c>
      <c r="F176" s="10">
        <f t="shared" si="6"/>
        <v>97.69171297607073</v>
      </c>
    </row>
    <row r="177" spans="1:6" ht="126">
      <c r="A177" s="31" t="s">
        <v>387</v>
      </c>
      <c r="B177" s="62" t="s">
        <v>390</v>
      </c>
      <c r="C177" s="36">
        <v>0</v>
      </c>
      <c r="D177" s="10">
        <f>D178</f>
        <v>18163.06</v>
      </c>
      <c r="E177" s="10">
        <f>E178</f>
        <v>18163.06</v>
      </c>
      <c r="F177" s="10">
        <f t="shared" si="6"/>
        <v>100</v>
      </c>
    </row>
    <row r="178" spans="1:6" ht="162">
      <c r="A178" s="31" t="s">
        <v>391</v>
      </c>
      <c r="B178" s="62" t="s">
        <v>392</v>
      </c>
      <c r="C178" s="36">
        <v>0</v>
      </c>
      <c r="D178" s="10">
        <f>SUM(D179:D180)</f>
        <v>18163.06</v>
      </c>
      <c r="E178" s="10">
        <f>SUM(E179:E180)</f>
        <v>18163.06</v>
      </c>
      <c r="F178" s="10">
        <f t="shared" si="6"/>
        <v>100</v>
      </c>
    </row>
    <row r="179" spans="1:6" ht="162">
      <c r="A179" s="31" t="s">
        <v>393</v>
      </c>
      <c r="B179" s="62" t="s">
        <v>392</v>
      </c>
      <c r="C179" s="36">
        <v>0</v>
      </c>
      <c r="D179" s="10">
        <v>15748.34</v>
      </c>
      <c r="E179" s="10">
        <v>15748.34</v>
      </c>
      <c r="F179" s="10">
        <f t="shared" si="6"/>
        <v>100</v>
      </c>
    </row>
    <row r="180" spans="1:6" ht="162">
      <c r="A180" s="31" t="s">
        <v>394</v>
      </c>
      <c r="B180" s="62" t="s">
        <v>392</v>
      </c>
      <c r="C180" s="36">
        <v>0</v>
      </c>
      <c r="D180" s="10">
        <f>414.72+2000</f>
        <v>2414.7200000000003</v>
      </c>
      <c r="E180" s="10">
        <v>2414.72</v>
      </c>
      <c r="F180" s="10">
        <f t="shared" si="6"/>
        <v>99.99999999999997</v>
      </c>
    </row>
    <row r="181" spans="1:6" ht="171.75" customHeight="1">
      <c r="A181" s="30" t="s">
        <v>144</v>
      </c>
      <c r="B181" s="62" t="s">
        <v>362</v>
      </c>
      <c r="C181" s="36">
        <v>77000</v>
      </c>
      <c r="D181" s="10">
        <f>D182</f>
        <v>12000</v>
      </c>
      <c r="E181" s="10">
        <f>E182</f>
        <v>11303.75</v>
      </c>
      <c r="F181" s="10">
        <f t="shared" si="6"/>
        <v>94.19791666666667</v>
      </c>
    </row>
    <row r="182" spans="1:6" ht="126">
      <c r="A182" s="30" t="s">
        <v>143</v>
      </c>
      <c r="B182" s="63" t="s">
        <v>187</v>
      </c>
      <c r="C182" s="38">
        <v>77000</v>
      </c>
      <c r="D182" s="11">
        <f>SUM(D183:D183)</f>
        <v>12000</v>
      </c>
      <c r="E182" s="11">
        <f>SUM(E183:E183)</f>
        <v>11303.75</v>
      </c>
      <c r="F182" s="10">
        <f t="shared" si="6"/>
        <v>94.19791666666667</v>
      </c>
    </row>
    <row r="183" spans="1:6" ht="126">
      <c r="A183" s="30" t="s">
        <v>139</v>
      </c>
      <c r="B183" s="63" t="s">
        <v>187</v>
      </c>
      <c r="C183" s="38">
        <v>59000</v>
      </c>
      <c r="D183" s="11">
        <f>59000-3800-43000-200</f>
        <v>12000</v>
      </c>
      <c r="E183" s="11">
        <v>11303.75</v>
      </c>
      <c r="F183" s="10">
        <f t="shared" si="6"/>
        <v>94.19791666666667</v>
      </c>
    </row>
    <row r="184" spans="1:6" ht="126">
      <c r="A184" s="34" t="s">
        <v>431</v>
      </c>
      <c r="B184" s="63" t="s">
        <v>187</v>
      </c>
      <c r="C184" s="11">
        <v>18000</v>
      </c>
      <c r="D184" s="11">
        <v>0</v>
      </c>
      <c r="E184" s="11">
        <v>0</v>
      </c>
      <c r="F184" s="10">
        <v>0</v>
      </c>
    </row>
    <row r="185" spans="1:6" ht="36">
      <c r="A185" s="30" t="s">
        <v>145</v>
      </c>
      <c r="B185" s="63" t="s">
        <v>188</v>
      </c>
      <c r="C185" s="38">
        <v>140000</v>
      </c>
      <c r="D185" s="11">
        <f>D189</f>
        <v>132967.06999999998</v>
      </c>
      <c r="E185" s="11">
        <f>E189</f>
        <v>134185.41</v>
      </c>
      <c r="F185" s="10">
        <f t="shared" si="6"/>
        <v>100.91627197621187</v>
      </c>
    </row>
    <row r="186" spans="1:6" ht="162">
      <c r="A186" s="34" t="s">
        <v>432</v>
      </c>
      <c r="B186" s="63" t="s">
        <v>433</v>
      </c>
      <c r="C186" s="11">
        <f>C187</f>
        <v>140000</v>
      </c>
      <c r="D186" s="11">
        <v>0</v>
      </c>
      <c r="E186" s="11">
        <v>0</v>
      </c>
      <c r="F186" s="10">
        <v>0</v>
      </c>
    </row>
    <row r="187" spans="1:6" ht="126">
      <c r="A187" s="34" t="s">
        <v>434</v>
      </c>
      <c r="B187" s="63" t="s">
        <v>435</v>
      </c>
      <c r="C187" s="11">
        <f>C188</f>
        <v>140000</v>
      </c>
      <c r="D187" s="11">
        <v>0</v>
      </c>
      <c r="E187" s="11">
        <v>0</v>
      </c>
      <c r="F187" s="10">
        <v>0</v>
      </c>
    </row>
    <row r="188" spans="1:6" ht="126">
      <c r="A188" s="34" t="s">
        <v>436</v>
      </c>
      <c r="B188" s="63" t="s">
        <v>435</v>
      </c>
      <c r="C188" s="11">
        <v>140000</v>
      </c>
      <c r="D188" s="11">
        <v>0</v>
      </c>
      <c r="E188" s="11">
        <v>0</v>
      </c>
      <c r="F188" s="10">
        <v>0</v>
      </c>
    </row>
    <row r="189" spans="1:6" ht="162">
      <c r="A189" s="30" t="s">
        <v>255</v>
      </c>
      <c r="B189" s="55" t="s">
        <v>256</v>
      </c>
      <c r="C189" s="36">
        <v>0</v>
      </c>
      <c r="D189" s="11">
        <f>D190+D196</f>
        <v>132967.06999999998</v>
      </c>
      <c r="E189" s="11">
        <f>E190+E196</f>
        <v>134185.41</v>
      </c>
      <c r="F189" s="10">
        <f t="shared" si="6"/>
        <v>100.91627197621187</v>
      </c>
    </row>
    <row r="190" spans="1:6" ht="144">
      <c r="A190" s="30" t="s">
        <v>257</v>
      </c>
      <c r="B190" s="55" t="s">
        <v>258</v>
      </c>
      <c r="C190" s="36">
        <v>0</v>
      </c>
      <c r="D190" s="11">
        <f>D191</f>
        <v>132717.06999999998</v>
      </c>
      <c r="E190" s="11">
        <f>E191</f>
        <v>133935.41</v>
      </c>
      <c r="F190" s="10">
        <f t="shared" si="6"/>
        <v>100.917997963638</v>
      </c>
    </row>
    <row r="191" spans="1:6" ht="270">
      <c r="A191" s="30" t="s">
        <v>260</v>
      </c>
      <c r="B191" s="55" t="s">
        <v>261</v>
      </c>
      <c r="C191" s="36">
        <v>0</v>
      </c>
      <c r="D191" s="11">
        <f>SUM(D192:D195)</f>
        <v>132717.06999999998</v>
      </c>
      <c r="E191" s="11">
        <f>SUM(E192:E195)</f>
        <v>133935.41</v>
      </c>
      <c r="F191" s="10">
        <f t="shared" si="6"/>
        <v>100.917997963638</v>
      </c>
    </row>
    <row r="192" spans="1:6" ht="270">
      <c r="A192" s="30" t="s">
        <v>259</v>
      </c>
      <c r="B192" s="55" t="s">
        <v>261</v>
      </c>
      <c r="C192" s="36">
        <v>0</v>
      </c>
      <c r="D192" s="11">
        <f>23000+3000-17000+1471.2+522.97+500+3078.76</f>
        <v>14572.93</v>
      </c>
      <c r="E192" s="11">
        <v>14644.56</v>
      </c>
      <c r="F192" s="10">
        <f t="shared" si="6"/>
        <v>100.49152778473511</v>
      </c>
    </row>
    <row r="193" spans="1:6" ht="270">
      <c r="A193" s="30" t="s">
        <v>310</v>
      </c>
      <c r="B193" s="55" t="s">
        <v>261</v>
      </c>
      <c r="C193" s="36">
        <v>0</v>
      </c>
      <c r="D193" s="11">
        <f>21000+17000+2300.59+5941.89+17000+2677.54+1114.12</f>
        <v>67034.13999999998</v>
      </c>
      <c r="E193" s="11">
        <v>68180.85</v>
      </c>
      <c r="F193" s="10">
        <f t="shared" si="6"/>
        <v>101.71063580438269</v>
      </c>
    </row>
    <row r="194" spans="1:6" ht="270">
      <c r="A194" s="30" t="s">
        <v>311</v>
      </c>
      <c r="B194" s="55" t="s">
        <v>261</v>
      </c>
      <c r="C194" s="36">
        <v>0</v>
      </c>
      <c r="D194" s="11">
        <f>1000+100+10</f>
        <v>1110</v>
      </c>
      <c r="E194" s="11">
        <v>1110</v>
      </c>
      <c r="F194" s="10">
        <f t="shared" si="6"/>
        <v>100</v>
      </c>
    </row>
    <row r="195" spans="1:6" ht="270">
      <c r="A195" s="30" t="s">
        <v>312</v>
      </c>
      <c r="B195" s="55" t="s">
        <v>261</v>
      </c>
      <c r="C195" s="36">
        <v>0</v>
      </c>
      <c r="D195" s="11">
        <f>45000+5000</f>
        <v>50000</v>
      </c>
      <c r="E195" s="11">
        <v>50000</v>
      </c>
      <c r="F195" s="10">
        <f t="shared" si="6"/>
        <v>100</v>
      </c>
    </row>
    <row r="196" spans="1:6" ht="162">
      <c r="A196" s="30" t="s">
        <v>313</v>
      </c>
      <c r="B196" s="55" t="s">
        <v>314</v>
      </c>
      <c r="C196" s="36">
        <v>0</v>
      </c>
      <c r="D196" s="11">
        <f>D197</f>
        <v>250</v>
      </c>
      <c r="E196" s="11">
        <f>E197</f>
        <v>250</v>
      </c>
      <c r="F196" s="10">
        <f t="shared" si="6"/>
        <v>100</v>
      </c>
    </row>
    <row r="197" spans="1:6" ht="171.75" customHeight="1">
      <c r="A197" s="30" t="s">
        <v>315</v>
      </c>
      <c r="B197" s="55" t="s">
        <v>314</v>
      </c>
      <c r="C197" s="36">
        <v>0</v>
      </c>
      <c r="D197" s="11">
        <v>250</v>
      </c>
      <c r="E197" s="11">
        <v>250</v>
      </c>
      <c r="F197" s="10">
        <f t="shared" si="6"/>
        <v>100</v>
      </c>
    </row>
    <row r="198" spans="1:6" ht="18">
      <c r="A198" s="12" t="s">
        <v>37</v>
      </c>
      <c r="B198" s="60" t="s">
        <v>137</v>
      </c>
      <c r="C198" s="35">
        <v>244780086.07</v>
      </c>
      <c r="D198" s="13">
        <f>D199+D257+D261</f>
        <v>310964835.01</v>
      </c>
      <c r="E198" s="13">
        <f>E199+E257+E261</f>
        <v>301209327.74999994</v>
      </c>
      <c r="F198" s="18">
        <f t="shared" si="6"/>
        <v>96.8628262228794</v>
      </c>
    </row>
    <row r="199" spans="1:6" ht="69">
      <c r="A199" s="12" t="s">
        <v>53</v>
      </c>
      <c r="B199" s="60" t="s">
        <v>189</v>
      </c>
      <c r="C199" s="35">
        <v>244780086.07</v>
      </c>
      <c r="D199" s="13">
        <f>D200+D207+D230+D245</f>
        <v>311378097.48</v>
      </c>
      <c r="E199" s="13">
        <f>E200+E207+E230+E245</f>
        <v>301622590.21999997</v>
      </c>
      <c r="F199" s="18">
        <f t="shared" si="6"/>
        <v>96.86698989461625</v>
      </c>
    </row>
    <row r="200" spans="1:6" ht="34.5">
      <c r="A200" s="12" t="s">
        <v>99</v>
      </c>
      <c r="B200" s="53" t="s">
        <v>190</v>
      </c>
      <c r="C200" s="35">
        <v>116884910</v>
      </c>
      <c r="D200" s="13">
        <f>D201+D204</f>
        <v>118985351</v>
      </c>
      <c r="E200" s="13">
        <f>E201+E204</f>
        <v>118985351</v>
      </c>
      <c r="F200" s="18">
        <f t="shared" si="6"/>
        <v>100</v>
      </c>
    </row>
    <row r="201" spans="1:6" ht="36">
      <c r="A201" s="30" t="s">
        <v>100</v>
      </c>
      <c r="B201" s="54" t="s">
        <v>191</v>
      </c>
      <c r="C201" s="36">
        <v>102491500</v>
      </c>
      <c r="D201" s="14">
        <f>D202</f>
        <v>102491500</v>
      </c>
      <c r="E201" s="14">
        <f>E202</f>
        <v>102491500</v>
      </c>
      <c r="F201" s="10">
        <f t="shared" si="6"/>
        <v>100</v>
      </c>
    </row>
    <row r="202" spans="1:6" ht="90">
      <c r="A202" s="30" t="s">
        <v>101</v>
      </c>
      <c r="B202" s="54" t="s">
        <v>316</v>
      </c>
      <c r="C202" s="36">
        <v>102491500</v>
      </c>
      <c r="D202" s="14">
        <f>D203</f>
        <v>102491500</v>
      </c>
      <c r="E202" s="14">
        <f>E203</f>
        <v>102491500</v>
      </c>
      <c r="F202" s="10">
        <f t="shared" si="6"/>
        <v>100</v>
      </c>
    </row>
    <row r="203" spans="1:6" ht="90">
      <c r="A203" s="30" t="s">
        <v>102</v>
      </c>
      <c r="B203" s="54" t="s">
        <v>316</v>
      </c>
      <c r="C203" s="36">
        <v>102491500</v>
      </c>
      <c r="D203" s="14">
        <v>102491500</v>
      </c>
      <c r="E203" s="15">
        <v>102491500</v>
      </c>
      <c r="F203" s="10">
        <f t="shared" si="6"/>
        <v>100</v>
      </c>
    </row>
    <row r="204" spans="1:6" ht="54">
      <c r="A204" s="30" t="s">
        <v>103</v>
      </c>
      <c r="B204" s="54" t="s">
        <v>192</v>
      </c>
      <c r="C204" s="36">
        <v>14393410</v>
      </c>
      <c r="D204" s="14">
        <f>D205</f>
        <v>16493851</v>
      </c>
      <c r="E204" s="14">
        <f>E205</f>
        <v>16493851</v>
      </c>
      <c r="F204" s="10">
        <f t="shared" si="6"/>
        <v>100</v>
      </c>
    </row>
    <row r="205" spans="1:6" ht="72">
      <c r="A205" s="30" t="s">
        <v>104</v>
      </c>
      <c r="B205" s="54" t="s">
        <v>193</v>
      </c>
      <c r="C205" s="36">
        <v>14393410</v>
      </c>
      <c r="D205" s="14">
        <f>D206</f>
        <v>16493851</v>
      </c>
      <c r="E205" s="14">
        <f>E206</f>
        <v>16493851</v>
      </c>
      <c r="F205" s="10">
        <f t="shared" si="6"/>
        <v>100</v>
      </c>
    </row>
    <row r="206" spans="1:6" ht="72">
      <c r="A206" s="30" t="s">
        <v>105</v>
      </c>
      <c r="B206" s="54" t="s">
        <v>193</v>
      </c>
      <c r="C206" s="36">
        <v>14393410</v>
      </c>
      <c r="D206" s="14">
        <f>14393410+29770+50278+2020393</f>
        <v>16493851</v>
      </c>
      <c r="E206" s="15">
        <v>16493851</v>
      </c>
      <c r="F206" s="10">
        <f t="shared" si="6"/>
        <v>100</v>
      </c>
    </row>
    <row r="207" spans="1:6" s="6" customFormat="1" ht="51.75">
      <c r="A207" s="12" t="s">
        <v>106</v>
      </c>
      <c r="B207" s="60" t="s">
        <v>194</v>
      </c>
      <c r="C207" s="35">
        <v>8160671.66</v>
      </c>
      <c r="D207" s="13">
        <f>D226+D214+D223+D208+D217+D211+D220</f>
        <v>64628438.230000004</v>
      </c>
      <c r="E207" s="13">
        <f>E226+E214+E223+E208+E217+E211+E220</f>
        <v>55262099.54</v>
      </c>
      <c r="F207" s="18">
        <f t="shared" si="6"/>
        <v>85.5074036345006</v>
      </c>
    </row>
    <row r="208" spans="1:6" s="6" customFormat="1" ht="73.5" customHeight="1">
      <c r="A208" s="17" t="s">
        <v>247</v>
      </c>
      <c r="B208" s="55" t="s">
        <v>248</v>
      </c>
      <c r="C208" s="36">
        <v>0</v>
      </c>
      <c r="D208" s="14">
        <f>D209</f>
        <v>35545100.11</v>
      </c>
      <c r="E208" s="14">
        <f>E209</f>
        <v>27787914.94</v>
      </c>
      <c r="F208" s="10">
        <f t="shared" si="6"/>
        <v>78.17649930371796</v>
      </c>
    </row>
    <row r="209" spans="1:6" s="6" customFormat="1" ht="90">
      <c r="A209" s="30" t="s">
        <v>245</v>
      </c>
      <c r="B209" s="55" t="s">
        <v>249</v>
      </c>
      <c r="C209" s="36">
        <v>0</v>
      </c>
      <c r="D209" s="14">
        <f>D210</f>
        <v>35545100.11</v>
      </c>
      <c r="E209" s="14">
        <f>E210</f>
        <v>27787914.94</v>
      </c>
      <c r="F209" s="10">
        <f t="shared" si="6"/>
        <v>78.17649930371796</v>
      </c>
    </row>
    <row r="210" spans="1:6" s="6" customFormat="1" ht="90">
      <c r="A210" s="30" t="s">
        <v>246</v>
      </c>
      <c r="B210" s="55" t="s">
        <v>249</v>
      </c>
      <c r="C210" s="36">
        <v>0</v>
      </c>
      <c r="D210" s="14">
        <f>36639880.67-7500000-130560+6535779.44</f>
        <v>35545100.11</v>
      </c>
      <c r="E210" s="14">
        <v>27787914.94</v>
      </c>
      <c r="F210" s="10">
        <f t="shared" si="6"/>
        <v>78.17649930371796</v>
      </c>
    </row>
    <row r="211" spans="1:6" s="6" customFormat="1" ht="162">
      <c r="A211" s="30" t="s">
        <v>326</v>
      </c>
      <c r="B211" s="55" t="s">
        <v>327</v>
      </c>
      <c r="C211" s="36">
        <v>0</v>
      </c>
      <c r="D211" s="14">
        <f>D212</f>
        <v>4720077.38</v>
      </c>
      <c r="E211" s="14">
        <f>E212</f>
        <v>4654732.5</v>
      </c>
      <c r="F211" s="10">
        <f t="shared" si="6"/>
        <v>98.61559727226337</v>
      </c>
    </row>
    <row r="212" spans="1:6" s="6" customFormat="1" ht="180">
      <c r="A212" s="30" t="s">
        <v>322</v>
      </c>
      <c r="B212" s="55" t="s">
        <v>328</v>
      </c>
      <c r="C212" s="36">
        <v>0</v>
      </c>
      <c r="D212" s="14">
        <f>D213</f>
        <v>4720077.38</v>
      </c>
      <c r="E212" s="14">
        <f>E213</f>
        <v>4654732.5</v>
      </c>
      <c r="F212" s="10">
        <f t="shared" si="6"/>
        <v>98.61559727226337</v>
      </c>
    </row>
    <row r="213" spans="1:6" s="6" customFormat="1" ht="180">
      <c r="A213" s="30" t="s">
        <v>323</v>
      </c>
      <c r="B213" s="55" t="s">
        <v>328</v>
      </c>
      <c r="C213" s="36">
        <v>0</v>
      </c>
      <c r="D213" s="14">
        <v>4720077.38</v>
      </c>
      <c r="E213" s="14">
        <v>4654732.5</v>
      </c>
      <c r="F213" s="10">
        <f t="shared" si="6"/>
        <v>98.61559727226337</v>
      </c>
    </row>
    <row r="214" spans="1:6" s="6" customFormat="1" ht="162">
      <c r="A214" s="30" t="s">
        <v>243</v>
      </c>
      <c r="B214" s="55" t="s">
        <v>244</v>
      </c>
      <c r="C214" s="36">
        <v>0</v>
      </c>
      <c r="D214" s="14">
        <f>D215</f>
        <v>1117058.69</v>
      </c>
      <c r="E214" s="14">
        <f>E215</f>
        <v>929336.71</v>
      </c>
      <c r="F214" s="10">
        <f aca="true" t="shared" si="7" ref="F214:F266">E214/D214*100</f>
        <v>83.19497608491815</v>
      </c>
    </row>
    <row r="215" spans="1:6" s="6" customFormat="1" ht="171" customHeight="1">
      <c r="A215" s="30" t="s">
        <v>218</v>
      </c>
      <c r="B215" s="55" t="s">
        <v>242</v>
      </c>
      <c r="C215" s="36">
        <v>0</v>
      </c>
      <c r="D215" s="14">
        <f>D216</f>
        <v>1117058.69</v>
      </c>
      <c r="E215" s="14">
        <f>E216</f>
        <v>929336.71</v>
      </c>
      <c r="F215" s="10">
        <f t="shared" si="7"/>
        <v>83.19497608491815</v>
      </c>
    </row>
    <row r="216" spans="1:6" s="6" customFormat="1" ht="183" customHeight="1">
      <c r="A216" s="30" t="s">
        <v>219</v>
      </c>
      <c r="B216" s="55" t="s">
        <v>241</v>
      </c>
      <c r="C216" s="36">
        <v>0</v>
      </c>
      <c r="D216" s="14">
        <v>1117058.69</v>
      </c>
      <c r="E216" s="14">
        <v>929336.71</v>
      </c>
      <c r="F216" s="10">
        <f t="shared" si="7"/>
        <v>83.19497608491815</v>
      </c>
    </row>
    <row r="217" spans="1:6" s="6" customFormat="1" ht="126">
      <c r="A217" s="30" t="s">
        <v>250</v>
      </c>
      <c r="B217" s="55" t="s">
        <v>253</v>
      </c>
      <c r="C217" s="36">
        <v>0</v>
      </c>
      <c r="D217" s="14">
        <f>D218</f>
        <v>10028710</v>
      </c>
      <c r="E217" s="14">
        <f>E218</f>
        <v>9141533.5</v>
      </c>
      <c r="F217" s="10">
        <f t="shared" si="7"/>
        <v>91.153632919887</v>
      </c>
    </row>
    <row r="218" spans="1:6" s="6" customFormat="1" ht="144">
      <c r="A218" s="30" t="s">
        <v>251</v>
      </c>
      <c r="B218" s="55" t="s">
        <v>254</v>
      </c>
      <c r="C218" s="36">
        <v>0</v>
      </c>
      <c r="D218" s="14">
        <f>D219</f>
        <v>10028710</v>
      </c>
      <c r="E218" s="14">
        <f>E219</f>
        <v>9141533.5</v>
      </c>
      <c r="F218" s="10">
        <f t="shared" si="7"/>
        <v>91.153632919887</v>
      </c>
    </row>
    <row r="219" spans="1:6" s="6" customFormat="1" ht="144">
      <c r="A219" s="30" t="s">
        <v>252</v>
      </c>
      <c r="B219" s="55" t="s">
        <v>254</v>
      </c>
      <c r="C219" s="36">
        <v>0</v>
      </c>
      <c r="D219" s="14">
        <v>10028710</v>
      </c>
      <c r="E219" s="14">
        <v>9141533.5</v>
      </c>
      <c r="F219" s="10">
        <f t="shared" si="7"/>
        <v>91.153632919887</v>
      </c>
    </row>
    <row r="220" spans="1:6" s="6" customFormat="1" ht="126">
      <c r="A220" s="30" t="s">
        <v>365</v>
      </c>
      <c r="B220" s="55" t="s">
        <v>366</v>
      </c>
      <c r="C220" s="36">
        <v>0</v>
      </c>
      <c r="D220" s="14">
        <f>D221</f>
        <v>3229909.64</v>
      </c>
      <c r="E220" s="14">
        <f>E221</f>
        <v>2760999.48</v>
      </c>
      <c r="F220" s="10">
        <f t="shared" si="7"/>
        <v>85.48225144775256</v>
      </c>
    </row>
    <row r="221" spans="1:6" s="6" customFormat="1" ht="144">
      <c r="A221" s="30" t="s">
        <v>367</v>
      </c>
      <c r="B221" s="55" t="s">
        <v>364</v>
      </c>
      <c r="C221" s="36">
        <v>0</v>
      </c>
      <c r="D221" s="14">
        <f>D222</f>
        <v>3229909.64</v>
      </c>
      <c r="E221" s="14">
        <f>E222</f>
        <v>2760999.48</v>
      </c>
      <c r="F221" s="10">
        <f t="shared" si="7"/>
        <v>85.48225144775256</v>
      </c>
    </row>
    <row r="222" spans="1:6" s="6" customFormat="1" ht="144">
      <c r="A222" s="30" t="s">
        <v>363</v>
      </c>
      <c r="B222" s="55" t="s">
        <v>364</v>
      </c>
      <c r="C222" s="36">
        <v>0</v>
      </c>
      <c r="D222" s="14">
        <v>3229909.64</v>
      </c>
      <c r="E222" s="14">
        <v>2760999.48</v>
      </c>
      <c r="F222" s="10">
        <f t="shared" si="7"/>
        <v>85.48225144775256</v>
      </c>
    </row>
    <row r="223" spans="1:6" s="6" customFormat="1" ht="54">
      <c r="A223" s="30" t="s">
        <v>226</v>
      </c>
      <c r="B223" s="55" t="s">
        <v>227</v>
      </c>
      <c r="C223" s="36">
        <v>0</v>
      </c>
      <c r="D223" s="14">
        <f>D224</f>
        <v>195531.74</v>
      </c>
      <c r="E223" s="14">
        <f>E224</f>
        <v>195531.74</v>
      </c>
      <c r="F223" s="10">
        <f t="shared" si="7"/>
        <v>100</v>
      </c>
    </row>
    <row r="224" spans="1:6" s="6" customFormat="1" ht="72">
      <c r="A224" s="30" t="s">
        <v>228</v>
      </c>
      <c r="B224" s="55" t="s">
        <v>229</v>
      </c>
      <c r="C224" s="36">
        <v>0</v>
      </c>
      <c r="D224" s="14">
        <f>D225</f>
        <v>195531.74</v>
      </c>
      <c r="E224" s="14">
        <f>E225</f>
        <v>195531.74</v>
      </c>
      <c r="F224" s="10">
        <f t="shared" si="7"/>
        <v>100</v>
      </c>
    </row>
    <row r="225" spans="1:6" s="6" customFormat="1" ht="72">
      <c r="A225" s="30" t="s">
        <v>230</v>
      </c>
      <c r="B225" s="55" t="s">
        <v>229</v>
      </c>
      <c r="C225" s="36">
        <v>0</v>
      </c>
      <c r="D225" s="14">
        <f>300400-104868.26</f>
        <v>195531.74</v>
      </c>
      <c r="E225" s="14">
        <v>195531.74</v>
      </c>
      <c r="F225" s="10">
        <f t="shared" si="7"/>
        <v>100</v>
      </c>
    </row>
    <row r="226" spans="1:6" ht="18">
      <c r="A226" s="30" t="s">
        <v>107</v>
      </c>
      <c r="B226" s="55" t="s">
        <v>196</v>
      </c>
      <c r="C226" s="36">
        <v>8160671.66</v>
      </c>
      <c r="D226" s="14">
        <f>D227</f>
        <v>9792050.67</v>
      </c>
      <c r="E226" s="14">
        <f>E227</f>
        <v>9792050.67</v>
      </c>
      <c r="F226" s="10">
        <f t="shared" si="7"/>
        <v>100</v>
      </c>
    </row>
    <row r="227" spans="1:6" ht="36">
      <c r="A227" s="30" t="s">
        <v>108</v>
      </c>
      <c r="B227" s="55" t="s">
        <v>195</v>
      </c>
      <c r="C227" s="36">
        <v>8160671.66</v>
      </c>
      <c r="D227" s="14">
        <f>SUM(D228:D229)</f>
        <v>9792050.67</v>
      </c>
      <c r="E227" s="14">
        <f>SUM(E228:E229)</f>
        <v>9792050.67</v>
      </c>
      <c r="F227" s="10">
        <f t="shared" si="7"/>
        <v>100</v>
      </c>
    </row>
    <row r="228" spans="1:6" ht="36">
      <c r="A228" s="30" t="s">
        <v>109</v>
      </c>
      <c r="B228" s="55" t="s">
        <v>195</v>
      </c>
      <c r="C228" s="36">
        <v>7290548</v>
      </c>
      <c r="D228" s="14">
        <f>6940548+350000-8879-135383+263875</f>
        <v>7410161</v>
      </c>
      <c r="E228" s="14">
        <v>7410161</v>
      </c>
      <c r="F228" s="10">
        <f t="shared" si="7"/>
        <v>100</v>
      </c>
    </row>
    <row r="229" spans="1:6" ht="36">
      <c r="A229" s="30" t="s">
        <v>110</v>
      </c>
      <c r="B229" s="55" t="s">
        <v>195</v>
      </c>
      <c r="C229" s="36">
        <v>870123.66</v>
      </c>
      <c r="D229" s="14">
        <f>870123.66+48510+10028710+1129585.16-10028710-717675.34+71236.92+453424.74+526684.53</f>
        <v>2381889.6700000004</v>
      </c>
      <c r="E229" s="14">
        <v>2381889.67</v>
      </c>
      <c r="F229" s="10">
        <f t="shared" si="7"/>
        <v>99.99999999999997</v>
      </c>
    </row>
    <row r="230" spans="1:6" ht="34.5">
      <c r="A230" s="12" t="s">
        <v>111</v>
      </c>
      <c r="B230" s="53" t="s">
        <v>197</v>
      </c>
      <c r="C230" s="35">
        <v>119734504.41</v>
      </c>
      <c r="D230" s="13">
        <f>D231+D242+D239+D236</f>
        <v>123523098.44999999</v>
      </c>
      <c r="E230" s="13">
        <f>E231+E242+E239+E236</f>
        <v>123356265.49999999</v>
      </c>
      <c r="F230" s="18">
        <f t="shared" si="7"/>
        <v>99.86493785203459</v>
      </c>
    </row>
    <row r="231" spans="1:6" ht="54">
      <c r="A231" s="30" t="s">
        <v>112</v>
      </c>
      <c r="B231" s="54" t="s">
        <v>198</v>
      </c>
      <c r="C231" s="36">
        <v>2017193.66</v>
      </c>
      <c r="D231" s="14">
        <f>D232</f>
        <v>1767971.3799999997</v>
      </c>
      <c r="E231" s="14">
        <f>E232</f>
        <v>1601139.21</v>
      </c>
      <c r="F231" s="10">
        <f t="shared" si="7"/>
        <v>90.56363853582292</v>
      </c>
    </row>
    <row r="232" spans="1:6" ht="72">
      <c r="A232" s="30" t="s">
        <v>113</v>
      </c>
      <c r="B232" s="54" t="s">
        <v>199</v>
      </c>
      <c r="C232" s="36">
        <v>2017193.66</v>
      </c>
      <c r="D232" s="14">
        <f>SUM(D233:D235)</f>
        <v>1767971.3799999997</v>
      </c>
      <c r="E232" s="14">
        <f>SUM(E233:E235)</f>
        <v>1601139.21</v>
      </c>
      <c r="F232" s="10">
        <f t="shared" si="7"/>
        <v>90.56363853582292</v>
      </c>
    </row>
    <row r="233" spans="1:6" ht="72">
      <c r="A233" s="30" t="s">
        <v>114</v>
      </c>
      <c r="B233" s="54" t="s">
        <v>199</v>
      </c>
      <c r="C233" s="36">
        <v>448497.28</v>
      </c>
      <c r="D233" s="14">
        <f>448497.28+344.92</f>
        <v>448842.2</v>
      </c>
      <c r="E233" s="14">
        <v>448842.2</v>
      </c>
      <c r="F233" s="10">
        <f t="shared" si="7"/>
        <v>100</v>
      </c>
    </row>
    <row r="234" spans="1:6" ht="72">
      <c r="A234" s="30" t="s">
        <v>115</v>
      </c>
      <c r="B234" s="54" t="s">
        <v>199</v>
      </c>
      <c r="C234" s="36">
        <v>1460657.16</v>
      </c>
      <c r="D234" s="14">
        <f>1460657.16+4620-50820-262160.15</f>
        <v>1152297.0099999998</v>
      </c>
      <c r="E234" s="14">
        <v>1152297.01</v>
      </c>
      <c r="F234" s="10">
        <f t="shared" si="7"/>
        <v>100.00000000000003</v>
      </c>
    </row>
    <row r="235" spans="1:6" ht="72">
      <c r="A235" s="30" t="s">
        <v>116</v>
      </c>
      <c r="B235" s="54" t="s">
        <v>199</v>
      </c>
      <c r="C235" s="36">
        <v>108039.22</v>
      </c>
      <c r="D235" s="14">
        <f>108039.22+3454.22+55338.73</f>
        <v>166832.17</v>
      </c>
      <c r="E235" s="14">
        <v>0</v>
      </c>
      <c r="F235" s="10">
        <f t="shared" si="7"/>
        <v>0</v>
      </c>
    </row>
    <row r="236" spans="1:6" ht="108">
      <c r="A236" s="30" t="s">
        <v>117</v>
      </c>
      <c r="B236" s="54" t="s">
        <v>200</v>
      </c>
      <c r="C236" s="36">
        <v>1073457</v>
      </c>
      <c r="D236" s="14">
        <f>D237</f>
        <v>3100000</v>
      </c>
      <c r="E236" s="14">
        <f>E237</f>
        <v>3100000</v>
      </c>
      <c r="F236" s="10">
        <f t="shared" si="7"/>
        <v>100</v>
      </c>
    </row>
    <row r="237" spans="1:6" ht="108">
      <c r="A237" s="30" t="s">
        <v>118</v>
      </c>
      <c r="B237" s="54" t="s">
        <v>201</v>
      </c>
      <c r="C237" s="36">
        <v>1073457</v>
      </c>
      <c r="D237" s="14">
        <f>D238</f>
        <v>3100000</v>
      </c>
      <c r="E237" s="14">
        <f>E238</f>
        <v>3100000</v>
      </c>
      <c r="F237" s="10">
        <f t="shared" si="7"/>
        <v>100</v>
      </c>
    </row>
    <row r="238" spans="1:6" ht="108">
      <c r="A238" s="30" t="s">
        <v>119</v>
      </c>
      <c r="B238" s="54" t="s">
        <v>201</v>
      </c>
      <c r="C238" s="36">
        <v>1073457</v>
      </c>
      <c r="D238" s="14">
        <f>1073457+2146914-120371</f>
        <v>3100000</v>
      </c>
      <c r="E238" s="14">
        <v>3100000</v>
      </c>
      <c r="F238" s="10">
        <f t="shared" si="7"/>
        <v>100</v>
      </c>
    </row>
    <row r="239" spans="1:6" ht="90">
      <c r="A239" s="30" t="s">
        <v>120</v>
      </c>
      <c r="B239" s="54" t="s">
        <v>97</v>
      </c>
      <c r="C239" s="36">
        <v>5620</v>
      </c>
      <c r="D239" s="14">
        <f>D240</f>
        <v>18862</v>
      </c>
      <c r="E239" s="14">
        <f>E240</f>
        <v>18861.22</v>
      </c>
      <c r="F239" s="10">
        <f t="shared" si="7"/>
        <v>99.99586470151628</v>
      </c>
    </row>
    <row r="240" spans="1:6" ht="108">
      <c r="A240" s="30" t="s">
        <v>121</v>
      </c>
      <c r="B240" s="54" t="s">
        <v>202</v>
      </c>
      <c r="C240" s="36">
        <v>5620</v>
      </c>
      <c r="D240" s="14">
        <f>D241</f>
        <v>18862</v>
      </c>
      <c r="E240" s="14">
        <f>E241</f>
        <v>18861.22</v>
      </c>
      <c r="F240" s="10">
        <f t="shared" si="7"/>
        <v>99.99586470151628</v>
      </c>
    </row>
    <row r="241" spans="1:6" ht="108">
      <c r="A241" s="30" t="s">
        <v>122</v>
      </c>
      <c r="B241" s="54" t="s">
        <v>202</v>
      </c>
      <c r="C241" s="36">
        <v>5620</v>
      </c>
      <c r="D241" s="14">
        <f>5620+13242</f>
        <v>18862</v>
      </c>
      <c r="E241" s="14">
        <v>18861.22</v>
      </c>
      <c r="F241" s="10">
        <f t="shared" si="7"/>
        <v>99.99586470151628</v>
      </c>
    </row>
    <row r="242" spans="1:6" ht="18">
      <c r="A242" s="30" t="s">
        <v>123</v>
      </c>
      <c r="B242" s="54" t="s">
        <v>78</v>
      </c>
      <c r="C242" s="36">
        <v>116638233.75</v>
      </c>
      <c r="D242" s="14">
        <f>D243</f>
        <v>118636265.07</v>
      </c>
      <c r="E242" s="14">
        <f>E243</f>
        <v>118636265.07</v>
      </c>
      <c r="F242" s="10">
        <f t="shared" si="7"/>
        <v>100</v>
      </c>
    </row>
    <row r="243" spans="1:6" ht="36">
      <c r="A243" s="30" t="s">
        <v>124</v>
      </c>
      <c r="B243" s="54" t="s">
        <v>203</v>
      </c>
      <c r="C243" s="36">
        <v>116638233.75</v>
      </c>
      <c r="D243" s="14">
        <f>D244</f>
        <v>118636265.07</v>
      </c>
      <c r="E243" s="14">
        <f>E244</f>
        <v>118636265.07</v>
      </c>
      <c r="F243" s="10">
        <f t="shared" si="7"/>
        <v>100</v>
      </c>
    </row>
    <row r="244" spans="1:6" ht="36">
      <c r="A244" s="30" t="s">
        <v>125</v>
      </c>
      <c r="B244" s="54" t="s">
        <v>203</v>
      </c>
      <c r="C244" s="36">
        <v>116638233.75</v>
      </c>
      <c r="D244" s="14">
        <f>116638233.75+413299+502898.5+1081833.82</f>
        <v>118636265.07</v>
      </c>
      <c r="E244" s="14">
        <v>118636265.07</v>
      </c>
      <c r="F244" s="10">
        <f t="shared" si="7"/>
        <v>100</v>
      </c>
    </row>
    <row r="245" spans="1:6" ht="18">
      <c r="A245" s="16" t="s">
        <v>204</v>
      </c>
      <c r="B245" s="53" t="s">
        <v>205</v>
      </c>
      <c r="C245" s="35">
        <v>0</v>
      </c>
      <c r="D245" s="13">
        <f>D246+D252+D249</f>
        <v>4241209.8</v>
      </c>
      <c r="E245" s="13">
        <f>E246+E252+E249</f>
        <v>4018874.1800000006</v>
      </c>
      <c r="F245" s="18">
        <f t="shared" si="7"/>
        <v>94.75773115491718</v>
      </c>
    </row>
    <row r="246" spans="1:6" ht="108">
      <c r="A246" s="17" t="s">
        <v>206</v>
      </c>
      <c r="B246" s="54" t="s">
        <v>207</v>
      </c>
      <c r="C246" s="36">
        <v>0</v>
      </c>
      <c r="D246" s="14">
        <f>D247</f>
        <v>271689.8</v>
      </c>
      <c r="E246" s="14">
        <f>E247</f>
        <v>164936.82</v>
      </c>
      <c r="F246" s="10">
        <f t="shared" si="7"/>
        <v>60.70777040580839</v>
      </c>
    </row>
    <row r="247" spans="1:6" ht="126">
      <c r="A247" s="17" t="s">
        <v>208</v>
      </c>
      <c r="B247" s="54" t="s">
        <v>209</v>
      </c>
      <c r="C247" s="36">
        <v>0</v>
      </c>
      <c r="D247" s="14">
        <f>D248</f>
        <v>271689.8</v>
      </c>
      <c r="E247" s="14">
        <f>E248</f>
        <v>164936.82</v>
      </c>
      <c r="F247" s="10">
        <f t="shared" si="7"/>
        <v>60.70777040580839</v>
      </c>
    </row>
    <row r="248" spans="1:6" ht="126">
      <c r="A248" s="17" t="s">
        <v>210</v>
      </c>
      <c r="B248" s="54" t="s">
        <v>209</v>
      </c>
      <c r="C248" s="36">
        <v>0</v>
      </c>
      <c r="D248" s="14">
        <f>146214+121840.8+1535+2100</f>
        <v>271689.8</v>
      </c>
      <c r="E248" s="14">
        <v>164936.82</v>
      </c>
      <c r="F248" s="10">
        <f t="shared" si="7"/>
        <v>60.70777040580839</v>
      </c>
    </row>
    <row r="249" spans="1:6" ht="126">
      <c r="A249" s="17" t="s">
        <v>355</v>
      </c>
      <c r="B249" s="54" t="s">
        <v>356</v>
      </c>
      <c r="C249" s="36">
        <v>0</v>
      </c>
      <c r="D249" s="14">
        <f>D250</f>
        <v>2812320</v>
      </c>
      <c r="E249" s="14">
        <f>E250</f>
        <v>2724268.22</v>
      </c>
      <c r="F249" s="10">
        <f t="shared" si="7"/>
        <v>96.86906966490301</v>
      </c>
    </row>
    <row r="250" spans="1:6" ht="126">
      <c r="A250" s="17" t="s">
        <v>357</v>
      </c>
      <c r="B250" s="54" t="s">
        <v>358</v>
      </c>
      <c r="C250" s="36">
        <v>0</v>
      </c>
      <c r="D250" s="14">
        <f>D251</f>
        <v>2812320</v>
      </c>
      <c r="E250" s="14">
        <f>E251</f>
        <v>2724268.22</v>
      </c>
      <c r="F250" s="10">
        <f t="shared" si="7"/>
        <v>96.86906966490301</v>
      </c>
    </row>
    <row r="251" spans="1:6" ht="126">
      <c r="A251" s="17" t="s">
        <v>359</v>
      </c>
      <c r="B251" s="54" t="s">
        <v>358</v>
      </c>
      <c r="C251" s="36">
        <v>0</v>
      </c>
      <c r="D251" s="14">
        <f>2786280+26040</f>
        <v>2812320</v>
      </c>
      <c r="E251" s="14">
        <v>2724268.22</v>
      </c>
      <c r="F251" s="10">
        <f t="shared" si="7"/>
        <v>96.86906966490301</v>
      </c>
    </row>
    <row r="252" spans="1:6" ht="90">
      <c r="A252" s="17" t="s">
        <v>262</v>
      </c>
      <c r="B252" s="54" t="s">
        <v>263</v>
      </c>
      <c r="C252" s="36">
        <v>0</v>
      </c>
      <c r="D252" s="14">
        <f>D253</f>
        <v>1157200</v>
      </c>
      <c r="E252" s="14">
        <f>E253</f>
        <v>1129669.1400000001</v>
      </c>
      <c r="F252" s="10">
        <f t="shared" si="7"/>
        <v>97.62090736259938</v>
      </c>
    </row>
    <row r="253" spans="1:6" ht="102.75" customHeight="1">
      <c r="A253" s="17" t="s">
        <v>264</v>
      </c>
      <c r="B253" s="54" t="s">
        <v>265</v>
      </c>
      <c r="C253" s="36">
        <v>0</v>
      </c>
      <c r="D253" s="14">
        <f>D254</f>
        <v>1157200</v>
      </c>
      <c r="E253" s="14">
        <f>E254</f>
        <v>1129669.1400000001</v>
      </c>
      <c r="F253" s="10">
        <f t="shared" si="7"/>
        <v>97.62090736259938</v>
      </c>
    </row>
    <row r="254" spans="1:6" ht="72">
      <c r="A254" s="17" t="s">
        <v>266</v>
      </c>
      <c r="B254" s="54" t="s">
        <v>267</v>
      </c>
      <c r="C254" s="36">
        <v>0</v>
      </c>
      <c r="D254" s="14">
        <f>SUM(D255:D256)</f>
        <v>1157200</v>
      </c>
      <c r="E254" s="14">
        <f>SUM(E255:E256)</f>
        <v>1129669.1400000001</v>
      </c>
      <c r="F254" s="10">
        <f t="shared" si="7"/>
        <v>97.62090736259938</v>
      </c>
    </row>
    <row r="255" spans="1:6" ht="72">
      <c r="A255" s="17" t="s">
        <v>395</v>
      </c>
      <c r="B255" s="54" t="s">
        <v>267</v>
      </c>
      <c r="C255" s="36">
        <v>0</v>
      </c>
      <c r="D255" s="14">
        <v>781200</v>
      </c>
      <c r="E255" s="14">
        <v>781200</v>
      </c>
      <c r="F255" s="10">
        <f t="shared" si="7"/>
        <v>100</v>
      </c>
    </row>
    <row r="256" spans="1:6" ht="66.75" customHeight="1">
      <c r="A256" s="17" t="s">
        <v>268</v>
      </c>
      <c r="B256" s="54" t="s">
        <v>267</v>
      </c>
      <c r="C256" s="36">
        <v>0</v>
      </c>
      <c r="D256" s="14">
        <v>376000</v>
      </c>
      <c r="E256" s="14">
        <v>348469.14</v>
      </c>
      <c r="F256" s="10">
        <f t="shared" si="7"/>
        <v>92.67796276595746</v>
      </c>
    </row>
    <row r="257" spans="1:6" ht="48.75" customHeight="1">
      <c r="A257" s="16" t="s">
        <v>211</v>
      </c>
      <c r="B257" s="53" t="s">
        <v>212</v>
      </c>
      <c r="C257" s="35">
        <v>0</v>
      </c>
      <c r="D257" s="13">
        <f aca="true" t="shared" si="8" ref="D257:E259">D258</f>
        <v>50000</v>
      </c>
      <c r="E257" s="13">
        <f t="shared" si="8"/>
        <v>50000</v>
      </c>
      <c r="F257" s="18">
        <f t="shared" si="7"/>
        <v>100</v>
      </c>
    </row>
    <row r="258" spans="1:6" ht="48" customHeight="1">
      <c r="A258" s="17" t="s">
        <v>213</v>
      </c>
      <c r="B258" s="54" t="s">
        <v>214</v>
      </c>
      <c r="C258" s="36">
        <v>0</v>
      </c>
      <c r="D258" s="14">
        <f t="shared" si="8"/>
        <v>50000</v>
      </c>
      <c r="E258" s="14">
        <f t="shared" si="8"/>
        <v>50000</v>
      </c>
      <c r="F258" s="10">
        <f t="shared" si="7"/>
        <v>100</v>
      </c>
    </row>
    <row r="259" spans="1:6" ht="108">
      <c r="A259" s="17" t="s">
        <v>215</v>
      </c>
      <c r="B259" s="54" t="s">
        <v>216</v>
      </c>
      <c r="C259" s="36">
        <v>0</v>
      </c>
      <c r="D259" s="14">
        <f t="shared" si="8"/>
        <v>50000</v>
      </c>
      <c r="E259" s="14">
        <f t="shared" si="8"/>
        <v>50000</v>
      </c>
      <c r="F259" s="10">
        <f t="shared" si="7"/>
        <v>100</v>
      </c>
    </row>
    <row r="260" spans="1:6" ht="108">
      <c r="A260" s="17" t="s">
        <v>217</v>
      </c>
      <c r="B260" s="54" t="s">
        <v>216</v>
      </c>
      <c r="C260" s="36">
        <v>0</v>
      </c>
      <c r="D260" s="14">
        <v>50000</v>
      </c>
      <c r="E260" s="14">
        <v>50000</v>
      </c>
      <c r="F260" s="10">
        <f t="shared" si="7"/>
        <v>100</v>
      </c>
    </row>
    <row r="261" spans="1:6" ht="121.5">
      <c r="A261" s="16" t="s">
        <v>231</v>
      </c>
      <c r="B261" s="53" t="s">
        <v>232</v>
      </c>
      <c r="C261" s="35">
        <v>0</v>
      </c>
      <c r="D261" s="13">
        <f>D262</f>
        <v>-463262.47000000003</v>
      </c>
      <c r="E261" s="13">
        <f>E262</f>
        <v>-463262.47000000003</v>
      </c>
      <c r="F261" s="18">
        <f t="shared" si="7"/>
        <v>100</v>
      </c>
    </row>
    <row r="262" spans="1:6" ht="90">
      <c r="A262" s="17" t="s">
        <v>233</v>
      </c>
      <c r="B262" s="54" t="s">
        <v>234</v>
      </c>
      <c r="C262" s="36">
        <v>0</v>
      </c>
      <c r="D262" s="14">
        <f>D263</f>
        <v>-463262.47000000003</v>
      </c>
      <c r="E262" s="14">
        <f>E263</f>
        <v>-463262.47000000003</v>
      </c>
      <c r="F262" s="10">
        <f t="shared" si="7"/>
        <v>100</v>
      </c>
    </row>
    <row r="263" spans="1:6" ht="108">
      <c r="A263" s="17" t="s">
        <v>235</v>
      </c>
      <c r="B263" s="54" t="s">
        <v>236</v>
      </c>
      <c r="C263" s="36">
        <v>0</v>
      </c>
      <c r="D263" s="14">
        <f>SUM(D264:D265)</f>
        <v>-463262.47000000003</v>
      </c>
      <c r="E263" s="14">
        <f>SUM(E264:E265)</f>
        <v>-463262.47000000003</v>
      </c>
      <c r="F263" s="10">
        <f t="shared" si="7"/>
        <v>100</v>
      </c>
    </row>
    <row r="264" spans="1:6" ht="90">
      <c r="A264" s="17" t="s">
        <v>237</v>
      </c>
      <c r="B264" s="54" t="s">
        <v>238</v>
      </c>
      <c r="C264" s="36">
        <v>0</v>
      </c>
      <c r="D264" s="14">
        <v>-3240.9</v>
      </c>
      <c r="E264" s="14">
        <v>-3240.9</v>
      </c>
      <c r="F264" s="10">
        <f t="shared" si="7"/>
        <v>100</v>
      </c>
    </row>
    <row r="265" spans="1:6" ht="108">
      <c r="A265" s="17" t="s">
        <v>239</v>
      </c>
      <c r="B265" s="54" t="s">
        <v>240</v>
      </c>
      <c r="C265" s="36">
        <v>0</v>
      </c>
      <c r="D265" s="14">
        <v>-460021.57</v>
      </c>
      <c r="E265" s="14">
        <v>-460021.57</v>
      </c>
      <c r="F265" s="10">
        <f t="shared" si="7"/>
        <v>100</v>
      </c>
    </row>
    <row r="266" spans="1:6" ht="36" customHeight="1">
      <c r="A266" s="42" t="s">
        <v>138</v>
      </c>
      <c r="B266" s="43"/>
      <c r="C266" s="39">
        <v>309200865.86</v>
      </c>
      <c r="D266" s="18">
        <f>D16+D198</f>
        <v>376908925.96</v>
      </c>
      <c r="E266" s="18">
        <f>E16+E198</f>
        <v>371102479.84</v>
      </c>
      <c r="F266" s="18">
        <f t="shared" si="7"/>
        <v>98.45945645749545</v>
      </c>
    </row>
    <row r="267" spans="4:6" ht="18">
      <c r="D267" s="4"/>
      <c r="F267" s="4"/>
    </row>
    <row r="268" ht="18">
      <c r="D268" s="8"/>
    </row>
    <row r="270" ht="18">
      <c r="D270" s="8"/>
    </row>
    <row r="271" ht="18">
      <c r="E271" s="9"/>
    </row>
  </sheetData>
  <sheetProtection/>
  <mergeCells count="16">
    <mergeCell ref="D8:F8"/>
    <mergeCell ref="D1:F1"/>
    <mergeCell ref="D2:F2"/>
    <mergeCell ref="D3:F3"/>
    <mergeCell ref="D4:F4"/>
    <mergeCell ref="D5:F5"/>
    <mergeCell ref="D6:F6"/>
    <mergeCell ref="D7:F7"/>
    <mergeCell ref="A266:B266"/>
    <mergeCell ref="A13:A14"/>
    <mergeCell ref="B13:B14"/>
    <mergeCell ref="A11:F11"/>
    <mergeCell ref="A12:F12"/>
    <mergeCell ref="E13:E14"/>
    <mergeCell ref="F13:F14"/>
    <mergeCell ref="C13:D13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2021-03-24T10:30:31Z</cp:lastPrinted>
  <dcterms:created xsi:type="dcterms:W3CDTF">2009-08-21T08:27:43Z</dcterms:created>
  <dcterms:modified xsi:type="dcterms:W3CDTF">2021-03-24T10:30:39Z</dcterms:modified>
  <cp:category/>
  <cp:version/>
  <cp:contentType/>
  <cp:contentStatus/>
</cp:coreProperties>
</file>