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 sheetId="1" r:id="rId1"/>
  </sheets>
  <calcPr calcId="125725" refMode="R1C1"/>
</workbook>
</file>

<file path=xl/calcChain.xml><?xml version="1.0" encoding="utf-8"?>
<calcChain xmlns="http://schemas.openxmlformats.org/spreadsheetml/2006/main">
  <c r="D399" i="1"/>
  <c r="D390"/>
  <c r="D378"/>
  <c r="D364"/>
  <c r="D322"/>
  <c r="D293"/>
  <c r="D292"/>
  <c r="D256"/>
  <c r="D259"/>
  <c r="D244"/>
  <c r="D236"/>
  <c r="D196"/>
  <c r="D186"/>
  <c r="D180"/>
  <c r="D142"/>
  <c r="D131"/>
  <c r="D130"/>
  <c r="D129"/>
  <c r="D88"/>
  <c r="D87"/>
  <c r="D387" l="1"/>
  <c r="D323"/>
  <c r="D235"/>
  <c r="D232"/>
  <c r="D171"/>
  <c r="D169"/>
  <c r="D157"/>
  <c r="D95"/>
  <c r="D94"/>
  <c r="D79"/>
  <c r="D377" l="1"/>
  <c r="D367"/>
  <c r="D365"/>
  <c r="D363"/>
  <c r="D359"/>
  <c r="D355"/>
  <c r="D354"/>
  <c r="D321"/>
  <c r="D318"/>
  <c r="D317"/>
  <c r="D315"/>
  <c r="D313"/>
  <c r="D310"/>
  <c r="D298"/>
  <c r="D297"/>
  <c r="D290"/>
  <c r="D269"/>
  <c r="D268" s="1"/>
  <c r="D312" l="1"/>
  <c r="D203"/>
  <c r="D199"/>
  <c r="D195"/>
  <c r="D191"/>
  <c r="D188" s="1"/>
  <c r="D162"/>
  <c r="D152"/>
  <c r="D143"/>
  <c r="D117" l="1"/>
  <c r="D116"/>
  <c r="D53"/>
  <c r="D37"/>
  <c r="D32"/>
  <c r="D164" l="1"/>
  <c r="D33" l="1"/>
  <c r="D44"/>
  <c r="D398" l="1"/>
  <c r="D254"/>
  <c r="D217"/>
  <c r="D216" s="1"/>
  <c r="D215" s="1"/>
  <c r="D207"/>
  <c r="D198"/>
  <c r="D82"/>
  <c r="D81" l="1"/>
  <c r="D78" l="1"/>
  <c r="D77" l="1"/>
  <c r="D76"/>
  <c r="D65"/>
  <c r="D63"/>
  <c r="D62"/>
  <c r="D58"/>
  <c r="D57"/>
  <c r="D54"/>
  <c r="D52"/>
  <c r="D49"/>
  <c r="D31"/>
  <c r="D64" l="1"/>
  <c r="D219" l="1"/>
  <c r="D100" l="1"/>
  <c r="D99"/>
  <c r="D306" l="1"/>
  <c r="D302"/>
  <c r="D163" l="1"/>
  <c r="D51" l="1"/>
  <c r="D400" l="1"/>
  <c r="D376" l="1"/>
  <c r="D308"/>
  <c r="D301"/>
  <c r="D102"/>
  <c r="D47" l="1"/>
  <c r="D46"/>
  <c r="D45" l="1"/>
  <c r="D36"/>
  <c r="D35"/>
  <c r="D372" l="1"/>
  <c r="D371"/>
  <c r="D370"/>
  <c r="D369"/>
  <c r="D366"/>
  <c r="D149" l="1"/>
  <c r="D160" l="1"/>
  <c r="D159" s="1"/>
  <c r="D358" l="1"/>
  <c r="D197"/>
  <c r="D139" l="1"/>
  <c r="D127" s="1"/>
  <c r="D165" l="1"/>
  <c r="D155"/>
  <c r="D294" l="1"/>
  <c r="D328"/>
  <c r="D120"/>
  <c r="D119" s="1"/>
  <c r="D108" l="1"/>
  <c r="D107"/>
  <c r="D356"/>
  <c r="D178" l="1"/>
  <c r="D320"/>
  <c r="D307" l="1"/>
  <c r="D335" l="1"/>
  <c r="D331"/>
  <c r="D277"/>
  <c r="D93"/>
  <c r="D80" l="1"/>
  <c r="D50" s="1"/>
  <c r="D30" l="1"/>
  <c r="D295" l="1"/>
  <c r="D221"/>
  <c r="D218" s="1"/>
  <c r="D194"/>
  <c r="D193" s="1"/>
  <c r="D141" l="1"/>
  <c r="D375" l="1"/>
  <c r="D353"/>
  <c r="D349"/>
  <c r="D346"/>
  <c r="D342"/>
  <c r="D340"/>
  <c r="D334"/>
  <c r="D330"/>
  <c r="D326"/>
  <c r="D316"/>
  <c r="D300"/>
  <c r="D291"/>
  <c r="D289"/>
  <c r="D285"/>
  <c r="D280"/>
  <c r="D273"/>
  <c r="D265"/>
  <c r="D261"/>
  <c r="D253"/>
  <c r="D248"/>
  <c r="D239"/>
  <c r="D238" s="1"/>
  <c r="D231"/>
  <c r="D225"/>
  <c r="D212"/>
  <c r="D209"/>
  <c r="D205"/>
  <c r="D202"/>
  <c r="D201" s="1"/>
  <c r="D184"/>
  <c r="D181"/>
  <c r="D179"/>
  <c r="D175"/>
  <c r="D170"/>
  <c r="D168"/>
  <c r="D154" s="1"/>
  <c r="D151"/>
  <c r="D148"/>
  <c r="D140"/>
  <c r="D123"/>
  <c r="D115"/>
  <c r="D111"/>
  <c r="D104"/>
  <c r="D101"/>
  <c r="D97"/>
  <c r="D86"/>
  <c r="D272" l="1"/>
  <c r="D271" s="1"/>
  <c r="D183"/>
  <c r="D150"/>
  <c r="D126"/>
  <c r="D147"/>
  <c r="D264"/>
  <c r="D260"/>
  <c r="D357"/>
  <c r="D114"/>
  <c r="D110"/>
  <c r="D230"/>
  <c r="D348"/>
  <c r="D345"/>
  <c r="D208"/>
  <c r="D204"/>
  <c r="D224"/>
  <c r="D103"/>
  <c r="D247"/>
  <c r="D325"/>
  <c r="D319"/>
  <c r="D122"/>
  <c r="D187"/>
  <c r="D211"/>
  <c r="D192" s="1"/>
  <c r="D284"/>
  <c r="D352"/>
  <c r="D85"/>
  <c r="D96"/>
  <c r="D339"/>
  <c r="D311"/>
  <c r="D288"/>
  <c r="D276"/>
  <c r="D174"/>
  <c r="D29"/>
  <c r="D246" l="1"/>
  <c r="D28"/>
  <c r="D344"/>
  <c r="D223"/>
  <c r="D338"/>
  <c r="D324"/>
  <c r="D275"/>
  <c r="D287"/>
  <c r="D351"/>
  <c r="D125"/>
  <c r="D403" l="1"/>
</calcChain>
</file>

<file path=xl/sharedStrings.xml><?xml version="1.0" encoding="utf-8"?>
<sst xmlns="http://schemas.openxmlformats.org/spreadsheetml/2006/main" count="776" uniqueCount="719">
  <si>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</si>
  <si>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</si>
  <si>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</si>
  <si>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</si>
  <si>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</si>
  <si>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</si>
  <si>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</si>
  <si>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</si>
  <si>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</si>
  <si>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</si>
  <si>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</si>
  <si>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</si>
  <si>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</si>
  <si>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</si>
  <si>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</si>
  <si>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</si>
  <si>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</si>
  <si>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</si>
  <si>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</si>
  <si>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</si>
  <si>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</si>
  <si>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</si>
  <si>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</si>
  <si>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</si>
  <si>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</si>
  <si>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</si>
  <si>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</si>
  <si>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</si>
  <si>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</si>
  <si>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</si>
  <si>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</si>
  <si>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</si>
  <si>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</si>
  <si>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</si>
  <si>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</si>
  <si>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</si>
  <si>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</si>
  <si>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</si>
  <si>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</si>
  <si>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</si>
  <si>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</si>
  <si>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</si>
  <si>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</si>
  <si>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</si>
  <si>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</si>
  <si>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</si>
  <si>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</si>
  <si>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</si>
  <si>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</si>
  <si>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</si>
  <si>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</si>
  <si>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</si>
  <si>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</si>
  <si>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</si>
  <si>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</si>
  <si>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</si>
  <si>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</si>
  <si>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</si>
  <si>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</si>
  <si>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</si>
  <si>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</si>
  <si>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</si>
  <si>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</si>
  <si>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</si>
  <si>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</si>
  <si>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</si>
  <si>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</si>
  <si>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</si>
  <si>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</si>
  <si>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</si>
  <si>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</si>
  <si>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</si>
  <si>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</si>
  <si>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</si>
  <si>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</si>
  <si>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</si>
  <si>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</si>
  <si>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</si>
  <si>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</si>
  <si>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</si>
  <si>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</si>
  <si>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</si>
  <si>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</si>
  <si>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</si>
  <si>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</si>
  <si>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</si>
  <si>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</si>
  <si>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</si>
  <si>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</si>
  <si>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</si>
  <si>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</si>
  <si>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</si>
  <si>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</si>
  <si>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</si>
  <si>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</si>
  <si>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</si>
  <si>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</si>
  <si>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</si>
  <si>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</si>
  <si>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</si>
  <si>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</si>
  <si>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</si>
  <si>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</si>
  <si>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</si>
  <si>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</si>
  <si>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</si>
  <si>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</si>
  <si>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</si>
  <si>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</si>
  <si>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</si>
  <si>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</si>
  <si>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</si>
  <si>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</si>
  <si>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</si>
  <si>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</si>
  <si>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</si>
  <si>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</si>
  <si>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</si>
  <si>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</si>
  <si>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</si>
  <si>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</si>
  <si>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</si>
  <si>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</si>
  <si>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</si>
  <si>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</si>
  <si>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</si>
  <si>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</si>
  <si>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</si>
  <si>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</si>
  <si>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</si>
  <si>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</si>
  <si>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</si>
  <si>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</si>
  <si>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</si>
  <si>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</si>
  <si>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</si>
  <si>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</si>
  <si>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</si>
  <si>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</si>
  <si>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</si>
  <si>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</si>
  <si>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</si>
  <si>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</si>
  <si>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</si>
  <si>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</si>
  <si>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</si>
  <si>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</si>
  <si>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</si>
  <si>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</si>
  <si>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</si>
  <si>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</si>
  <si>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</si>
  <si>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</si>
  <si>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</si>
  <si>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</si>
  <si>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</si>
  <si>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</si>
  <si>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</si>
  <si>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</si>
  <si>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</si>
  <si>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</si>
  <si>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</si>
  <si>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</si>
  <si>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</si>
  <si>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</si>
  <si>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</si>
  <si>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</si>
  <si>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</si>
  <si>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</si>
  <si>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</si>
  <si>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</si>
  <si>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</si>
  <si>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</si>
  <si>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</si>
  <si>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</si>
  <si>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</si>
  <si>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</si>
  <si>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</si>
  <si>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</si>
  <si>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</si>
  <si>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</si>
  <si>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</si>
  <si>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</si>
  <si>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</si>
  <si>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</si>
  <si>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</si>
  <si>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</si>
  <si>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</si>
  <si>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</si>
  <si>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</si>
  <si>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</si>
  <si>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</si>
  <si>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</si>
  <si>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</si>
  <si>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</si>
  <si>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</si>
  <si>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</si>
  <si>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</si>
  <si>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</si>
  <si>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</si>
  <si>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</si>
  <si>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</si>
  <si>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</si>
  <si>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</si>
  <si>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</si>
  <si>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</si>
  <si>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</si>
  <si>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</si>
  <si>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</si>
  <si>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</si>
  <si>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</si>
  <si>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</si>
  <si>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</si>
  <si>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</si>
  <si>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</si>
  <si>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</si>
  <si>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</si>
  <si>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</si>
  <si>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</si>
  <si>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</si>
  <si>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</si>
  <si>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</si>
  <si>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</si>
  <si>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</si>
  <si>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</si>
  <si>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</si>
  <si>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</si>
  <si>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</si>
  <si>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</si>
  <si>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</si>
  <si>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</si>
  <si>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</si>
  <si>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</si>
  <si>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</si>
  <si>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</si>
  <si>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</si>
  <si>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</si>
  <si>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</si>
  <si>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</si>
  <si>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</si>
  <si>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</si>
  <si>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</si>
  <si>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</si>
  <si>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</si>
  <si>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</si>
  <si>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</si>
  <si>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</si>
  <si>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</si>
  <si>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</si>
  <si>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</si>
  <si>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</si>
  <si>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</si>
  <si>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</si>
  <si>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</si>
  <si>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</si>
  <si>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</si>
  <si>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</si>
  <si>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</si>
  <si>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</si>
  <si>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</si>
  <si>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</si>
  <si>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</si>
  <si>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</si>
  <si>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</si>
  <si>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</si>
  <si>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</si>
  <si>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</si>
  <si>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</si>
  <si>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</si>
  <si>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</si>
  <si>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</si>
  <si>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</si>
  <si>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</si>
  <si>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</si>
  <si>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</si>
  <si>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</si>
  <si>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</si>
  <si>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</si>
  <si>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</si>
  <si>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</si>
  <si>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</si>
  <si>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</si>
  <si>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</si>
  <si>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</si>
  <si>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</si>
  <si>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</si>
  <si>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</si>
  <si>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</si>
  <si>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</si>
  <si>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</si>
  <si>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</si>
  <si>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</si>
  <si>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</si>
  <si>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</si>
  <si>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</si>
  <si>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</si>
  <si>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</si>
  <si>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</si>
  <si>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</si>
  <si>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</si>
  <si>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</si>
  <si>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</si>
  <si>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</si>
  <si>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</si>
  <si>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</si>
  <si>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</si>
  <si>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</si>
  <si>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</si>
  <si>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</si>
  <si>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</si>
  <si>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</si>
  <si>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</si>
  <si>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</si>
  <si>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</si>
  <si>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</si>
  <si>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</si>
  <si>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</si>
  <si>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</si>
  <si>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</si>
  <si>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</si>
  <si>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</si>
  <si>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</si>
  <si>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</si>
  <si>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</si>
  <si>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</si>
  <si>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</si>
  <si>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</si>
  <si>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</si>
  <si>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</si>
  <si>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</si>
  <si>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</si>
  <si>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</si>
  <si>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</si>
  <si>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</si>
  <si>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</si>
  <si>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</si>
  <si>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</si>
  <si>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</si>
  <si>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</si>
  <si>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</si>
  <si>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</si>
  <si>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</si>
  <si>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</si>
  <si>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</si>
  <si>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</si>
  <si>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</si>
  <si>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</si>
  <si>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</si>
  <si>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</si>
  <si>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</si>
  <si>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</si>
  <si>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</si>
  <si>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</si>
  <si>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</si>
  <si>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</si>
  <si>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</si>
  <si>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</si>
  <si>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</si>
  <si>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</si>
  <si>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</si>
  <si>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</si>
  <si>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</si>
  <si>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</si>
  <si>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</si>
  <si>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</si>
  <si>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</si>
  <si>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</si>
  <si>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</si>
  <si>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</si>
  <si>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</si>
  <si>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</si>
  <si>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</si>
  <si>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</si>
  <si>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</si>
  <si>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</si>
  <si>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</si>
  <si>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</si>
  <si>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</si>
  <si>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</si>
  <si>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</si>
  <si>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</si>
  <si>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</si>
  <si>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</si>
  <si>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</si>
  <si>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</si>
  <si>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</si>
  <si>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</si>
  <si>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</si>
  <si>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</si>
  <si>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</si>
  <si>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</si>
  <si>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</si>
  <si>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</si>
  <si>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</si>
  <si>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</si>
  <si>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</si>
  <si>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</si>
  <si>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</si>
  <si>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</si>
  <si>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</si>
  <si>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</si>
  <si>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</si>
  <si>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</si>
  <si>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</si>
  <si>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</si>
  <si>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</si>
  <si>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</si>
  <si>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</si>
  <si>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</si>
  <si>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</si>
  <si>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</si>
  <si>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</si>
  <si>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</si>
  <si>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</si>
  <si>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</si>
  <si>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</si>
  <si>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</si>
  <si>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</si>
  <si>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</si>
  <si>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</si>
  <si>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</si>
  <si>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</si>
  <si>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</si>
  <si>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</si>
  <si>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</si>
  <si>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</si>
  <si>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</si>
  <si>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</si>
  <si>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</si>
  <si>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</si>
  <si>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</si>
  <si>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</si>
  <si>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</si>
  <si>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</si>
  <si>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</si>
  <si>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</si>
  <si>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</si>
  <si>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</si>
  <si>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</si>
  <si>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</si>
  <si>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</si>
  <si>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</si>
  <si>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</si>
  <si>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</si>
  <si>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08 5 00 00000</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</si>
  <si>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</si>
  <si>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</si>
  <si>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</si>
  <si>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</si>
  <si>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</si>
  <si>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</si>
  <si>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</si>
  <si>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</si>
  <si>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</si>
  <si>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</si>
  <si>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</si>
  <si>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</si>
  <si>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</si>
  <si>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</si>
  <si>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</si>
  <si>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</si>
  <si>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</si>
  <si>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</si>
  <si>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</si>
  <si>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</si>
  <si>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</si>
  <si>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</si>
  <si>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</si>
  <si>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2024 год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</si>
  <si>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</si>
  <si>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</si>
  <si>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</si>
  <si>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</si>
  <si>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</si>
  <si>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</si>
  <si>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</si>
  <si>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</si>
  <si>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</si>
  <si>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</si>
  <si>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</si>
  <si>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</si>
  <si>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</si>
  <si>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</si>
  <si>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</si>
  <si>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</si>
  <si>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</si>
  <si>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</si>
  <si>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</si>
  <si>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</si>
  <si>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</si>
  <si>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</si>
  <si>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</si>
  <si>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</si>
  <si>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</si>
  <si>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</si>
  <si>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</si>
  <si>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</si>
  <si>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</si>
  <si>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</si>
  <si>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</si>
  <si>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</si>
  <si>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</si>
  <si>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</si>
  <si>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</si>
  <si>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</si>
  <si>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</si>
  <si>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</si>
  <si>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</si>
  <si>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</si>
  <si>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</si>
  <si>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</si>
  <si>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</si>
  <si>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</si>
  <si>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</si>
  <si>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</si>
  <si>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</si>
  <si>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</si>
  <si>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</si>
  <si>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</si>
  <si>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</si>
  <si>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</si>
  <si>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</si>
  <si>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</si>
  <si>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</si>
  <si>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</si>
  <si>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</si>
  <si>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</si>
  <si>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</si>
  <si>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</si>
  <si>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</si>
  <si>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</si>
  <si>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</si>
  <si>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</si>
  <si>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</si>
  <si>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</si>
  <si>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</si>
  <si>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</si>
  <si>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</si>
  <si>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</si>
  <si>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</si>
  <si>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</si>
  <si>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</si>
  <si>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</si>
  <si>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</si>
  <si>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</si>
  <si>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</si>
  <si>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</si>
  <si>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</si>
  <si>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</si>
  <si>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</si>
  <si>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</si>
  <si>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</si>
  <si>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2024 год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</si>
  <si>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</si>
  <si>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</si>
  <si>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</si>
  <si>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</si>
  <si>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</si>
  <si>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</si>
  <si>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</si>
  <si>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</si>
  <si>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</si>
  <si>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</si>
  <si>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</si>
  <si>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</si>
  <si>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</si>
  <si>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</si>
  <si>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</si>
  <si>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</si>
  <si>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31 9 00 66130</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</si>
  <si>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</si>
  <si>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</si>
  <si>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</si>
  <si>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01 9 00 00000</t>
  </si>
  <si>
    <t>Основное мероприятие "Развитие кадрового потенциала системы образования"</t>
  </si>
  <si>
    <t>01 9 01 00000</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</si>
  <si>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</si>
  <si>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9 01 S3110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</si>
  <si>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</si>
  <si>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</si>
  <si>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30 9 00 24070</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</si>
  <si>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</si>
  <si>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30 9 00 25340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</si>
  <si>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</si>
  <si>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31 9 00 25080</t>
  </si>
  <si>
    <t xml:space="preserve">Исполнение судебных актов, оплата издержек по ним (Иные бюджетные ассигнования) </t>
  </si>
  <si>
    <t>31 9 00 90040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</si>
  <si>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</si>
  <si>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</si>
  <si>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</si>
  <si>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04 10180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</si>
  <si>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</si>
  <si>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</si>
  <si>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</si>
  <si>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</si>
  <si>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</si>
  <si>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</si>
  <si>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</si>
  <si>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</si>
  <si>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</si>
  <si>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</si>
  <si>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</si>
  <si>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</si>
  <si>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</si>
  <si>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</si>
  <si>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</si>
  <si>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</si>
  <si>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</si>
  <si>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</si>
  <si>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к решению Совета Южского</t>
  </si>
  <si>
    <t>муниципального района</t>
  </si>
  <si>
    <t xml:space="preserve">"О бюджете Южского </t>
  </si>
  <si>
    <t>на 2024 год и на плановый</t>
  </si>
  <si>
    <t>период 2025 и 2026 годов"</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</si>
  <si>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</si>
  <si>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</si>
  <si>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</si>
  <si>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</si>
  <si>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</si>
  <si>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Основное мероприятие "Муниципальный проект "Образование""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</si>
  <si>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</si>
  <si>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</si>
  <si>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00000</t>
  </si>
  <si>
    <t>01 2 EВ 51792</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</si>
  <si>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</si>
  <si>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</si>
  <si>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</si>
  <si>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</si>
  <si>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</si>
  <si>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от 22.12.2023 № 115</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</si>
  <si>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</si>
  <si>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</si>
  <si>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</si>
  <si>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</si>
  <si>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</si>
  <si>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4</t>
  </si>
  <si>
    <t>02 1 03 22210</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</si>
  <si>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</si>
  <si>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</si>
  <si>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</si>
  <si>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К 01 Д0820</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</si>
  <si>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</si>
  <si>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</si>
  <si>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Подпрограмма "Создание лесничеств и проведение лесоустройства на территории Южского муниципального района"</t>
  </si>
  <si>
    <t>Основное мероприятие "Проведение лесоустройства на территории Южского муниципального района"</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</si>
  <si>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</si>
  <si>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05 5 00 00000</t>
  </si>
  <si>
    <t>05 5 01 00000</t>
  </si>
  <si>
    <t>05 5 01 26730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</si>
  <si>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</si>
  <si>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08 4 01 26740</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</si>
  <si>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</si>
  <si>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</si>
  <si>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</si>
  <si>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</si>
  <si>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</si>
  <si>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</si>
  <si>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</si>
  <si>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</si>
  <si>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</si>
  <si>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01 2 02 29800</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</si>
  <si>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</si>
  <si>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01 2 02 29810</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</si>
  <si>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</si>
  <si>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01 2 02 29820</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</si>
  <si>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</si>
  <si>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01 2 02 29830</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</si>
  <si>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</si>
  <si>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 xml:space="preserve">02 Д 02 00000 </t>
  </si>
  <si>
    <t>02 Д 02 29880</t>
  </si>
  <si>
    <t>Основное мероприятие "Организация в границах поселений теплоснабжения населения"</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</si>
  <si>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</si>
  <si>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02 К 01 29840</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</si>
  <si>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</si>
  <si>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31 9 00 26340</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</si>
  <si>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</si>
  <si>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</si>
  <si>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</si>
  <si>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</si>
  <si>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</si>
  <si>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</si>
  <si>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</si>
  <si>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</si>
  <si>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</si>
  <si>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01 1 02 29920</t>
  </si>
  <si>
    <t>01 1 02 29930</t>
  </si>
  <si>
    <t>Разработка проектно-сметной документации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t>
  </si>
  <si>
    <t>Разработка проектно-сметной документации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</si>
  <si>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01 1 02 29950</t>
  </si>
  <si>
    <t>01 1 02 81120</t>
  </si>
  <si>
    <t>Оснащение прогулочных площадок муниципальных образовательных организаций, реализующих программу дошкольного образования (Предоставление субсидий бюджетным, автономным учреждениям и иным некоммерческим организациям)</t>
  </si>
  <si>
    <t>01 2 02 29940</t>
  </si>
  <si>
    <t>01 3 02 29910</t>
  </si>
  <si>
    <t>Уход за газоном футбольного поля (первый этап)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</si>
  <si>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</si>
  <si>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</si>
  <si>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02 1 03 89101</t>
  </si>
  <si>
    <t>02 1 03 89102</t>
  </si>
  <si>
    <t>02 1 03 89103</t>
  </si>
  <si>
    <t>02 1 03 89104</t>
  </si>
  <si>
    <t>02 1 03 89105</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</si>
  <si>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пер. Первомайский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</si>
  <si>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Северная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</si>
  <si>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Пионерская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</si>
  <si>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2-я Набережная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</si>
  <si>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Л. Толстого в селе Холуй Южского муниципального района) (Закупка товаров, работ и услуг для обеспечения государственных (муниципальных) нужд) </t>
  </si>
  <si>
    <t>Основное мероприятие "Обеспечение реализации мероприятий по благоустройству общественных территорий"</t>
  </si>
  <si>
    <t>04 8 02 00000</t>
  </si>
  <si>
    <t>04 8 02 81220</t>
  </si>
  <si>
    <t xml:space="preserve">Обеспечение реализации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 </t>
  </si>
  <si>
    <t>Подпрограмма "Обеспечение деятельности органов местного самоуправления Южского муниципального района, осуществляющих эксплуатацию муниципального имущества Южского муниципального района"</t>
  </si>
  <si>
    <t>Основное мероприятие "Обеспечение деятельности органов местного самоуправления Южского муниципального района"</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</si>
  <si>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(Закупка товаров, работ и услуг для обеспечения государственных (муниципальных) нужд)</t>
  </si>
  <si>
    <t>31 9 00 29900</t>
  </si>
  <si>
    <t xml:space="preserve">Оказание единовременной материальной помощи семье, пострадавшей в результате пожара, произошедшего 22 января 2024 года по адресу: Ивановская область, Южский район, с. Груздево, ул. Школьная д. 8  (Социальное обеспечение и иные выплаты населению) </t>
  </si>
  <si>
    <t xml:space="preserve">Благоустройство территории муниципальной образовательной организации - МБОУСОШ № 3 г. Южи Ивановской области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</si>
  <si>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Устройство детской спортивной площадки, благоустройство территории, приобретение спортивного оборудования и инвентаря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</si>
  <si>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Приложение № 1</t>
  </si>
  <si>
    <t>от 29.03.2024  № 24</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</si>
</sst>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 fontId="2" fillId="0" borderId="0" xfId="0" applyNumberFormat="1" applyFont="1" applyFill="1"/>
    <xf numFmtId="0" fontId="2" fillId="2" borderId="1" xfId="0" applyFont="1" applyFill="1" applyBorder="1" applyAlignment="1">
      <alignment horizont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0" fontId="2" fillId="2" borderId="0" xfId="0" applyFont="1" applyFill="1"/>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21"/>
  <sheetViews>
    <sheetView tabSelected="1" zoomScale="92" zoomScaleNormal="92" workbookViewId="0">
      <selection activeCell="D12" sqref="D12"/>
    </sheetView>
  </sheetViews>
  <sheetFormatPr defaultRowHeight="18.75"/>
  <cols>
    <col min="1" max="1" width="88.85546875" style="1" customWidth="1"/>
    <col min="2" max="2" width="18.7109375" style="1" customWidth="1"/>
    <col min="3" max="3" width="8.85546875" style="2" customWidth="1"/>
    <col min="4" max="4" width="21.85546875" style="1" customWidth="1"/>
    <col min="5" max="5" width="18.85546875" style="1" customWidth="1"/>
    <col min="6" max="16384" width="9.140625" style="1"/>
  </cols>
  <sheetData>
    <row r="1" spans="2:4">
      <c r="B1" s="38" t="s">
        <v>717</v>
      </c>
      <c r="C1" s="38"/>
      <c r="D1" s="38"/>
    </row>
    <row r="2" spans="2:4">
      <c r="B2" s="38" t="s">
        <v>609</v>
      </c>
      <c r="C2" s="38"/>
      <c r="D2" s="38"/>
    </row>
    <row r="3" spans="2:4">
      <c r="B3" s="38" t="s">
        <v>610</v>
      </c>
      <c r="C3" s="38"/>
      <c r="D3" s="38"/>
    </row>
    <row r="4" spans="2:4">
      <c r="B4" s="38" t="s">
        <v>630</v>
      </c>
      <c r="C4" s="38"/>
      <c r="D4" s="38"/>
    </row>
    <row r="5" spans="2:4">
      <c r="B5" s="38" t="s">
        <v>631</v>
      </c>
      <c r="C5" s="38"/>
      <c r="D5" s="38"/>
    </row>
    <row r="6" spans="2:4">
      <c r="B6" s="38" t="s">
        <v>610</v>
      </c>
      <c r="C6" s="38"/>
      <c r="D6" s="38"/>
    </row>
    <row r="7" spans="2:4">
      <c r="B7" s="38" t="s">
        <v>632</v>
      </c>
      <c r="C7" s="38"/>
      <c r="D7" s="38"/>
    </row>
    <row r="8" spans="2:4">
      <c r="B8" s="38" t="s">
        <v>633</v>
      </c>
      <c r="C8" s="38"/>
      <c r="D8" s="38"/>
    </row>
    <row r="9" spans="2:4">
      <c r="B9" s="38" t="s">
        <v>612</v>
      </c>
      <c r="C9" s="38"/>
      <c r="D9" s="38"/>
    </row>
    <row r="10" spans="2:4">
      <c r="B10" s="38" t="s">
        <v>634</v>
      </c>
      <c r="C10" s="38"/>
      <c r="D10" s="38"/>
    </row>
    <row r="11" spans="2:4">
      <c r="B11" s="38" t="s">
        <v>718</v>
      </c>
      <c r="C11" s="38"/>
      <c r="D11" s="38"/>
    </row>
    <row r="13" spans="2:4">
      <c r="B13" s="38" t="s">
        <v>635</v>
      </c>
      <c r="C13" s="38"/>
      <c r="D13" s="38"/>
    </row>
    <row r="14" spans="2:4">
      <c r="B14" s="38" t="s">
        <v>609</v>
      </c>
      <c r="C14" s="38"/>
      <c r="D14" s="38"/>
    </row>
    <row r="15" spans="2:4">
      <c r="B15" s="38" t="s">
        <v>610</v>
      </c>
      <c r="C15" s="38"/>
      <c r="D15" s="38"/>
    </row>
    <row r="16" spans="2:4">
      <c r="B16" s="38" t="s">
        <v>611</v>
      </c>
      <c r="C16" s="38"/>
      <c r="D16" s="38"/>
    </row>
    <row r="17" spans="1:4">
      <c r="B17" s="38" t="s">
        <v>610</v>
      </c>
      <c r="C17" s="38"/>
      <c r="D17" s="38"/>
    </row>
    <row r="18" spans="1:4">
      <c r="B18" s="38" t="s">
        <v>612</v>
      </c>
      <c r="C18" s="38"/>
      <c r="D18" s="38"/>
    </row>
    <row r="19" spans="1:4">
      <c r="B19" s="38" t="s">
        <v>613</v>
      </c>
      <c r="C19" s="38"/>
      <c r="D19" s="38"/>
    </row>
    <row r="20" spans="1:4">
      <c r="B20" s="39" t="s">
        <v>629</v>
      </c>
      <c r="C20" s="38"/>
      <c r="D20" s="38"/>
    </row>
    <row r="23" spans="1:4" ht="102" customHeight="1">
      <c r="A23" s="42" t="s">
        <v>552</v>
      </c>
      <c r="B23" s="42"/>
      <c r="C23" s="42"/>
      <c r="D23" s="42"/>
    </row>
    <row r="24" spans="1:4" ht="10.5" customHeight="1">
      <c r="A24" s="43"/>
      <c r="B24" s="43"/>
      <c r="C24" s="43"/>
      <c r="D24" s="34"/>
    </row>
    <row r="25" spans="1:4" ht="18.75" customHeight="1">
      <c r="A25" s="44" t="s">
        <v>131</v>
      </c>
      <c r="B25" s="44" t="s">
        <v>132</v>
      </c>
      <c r="C25" s="44" t="s">
        <v>133</v>
      </c>
      <c r="D25" s="40" t="s">
        <v>468</v>
      </c>
    </row>
    <row r="26" spans="1:4" ht="83.25" customHeight="1">
      <c r="A26" s="45"/>
      <c r="B26" s="45"/>
      <c r="C26" s="45"/>
      <c r="D26" s="41"/>
    </row>
    <row r="27" spans="1:4">
      <c r="A27" s="15">
        <v>1</v>
      </c>
      <c r="B27" s="15">
        <v>2</v>
      </c>
      <c r="C27" s="15">
        <v>3</v>
      </c>
      <c r="D27" s="31">
        <v>4</v>
      </c>
    </row>
    <row r="28" spans="1:4" s="4" customFormat="1" ht="56.25" customHeight="1">
      <c r="A28" s="16" t="s">
        <v>171</v>
      </c>
      <c r="B28" s="17" t="s">
        <v>0</v>
      </c>
      <c r="C28" s="17"/>
      <c r="D28" s="13">
        <f>D29+D50+D85+D96+D103+D110+D114+D122+D119</f>
        <v>320253349.38999999</v>
      </c>
    </row>
    <row r="29" spans="1:4" s="4" customFormat="1" ht="84" customHeight="1">
      <c r="A29" s="16" t="s">
        <v>172</v>
      </c>
      <c r="B29" s="17" t="s">
        <v>1</v>
      </c>
      <c r="C29" s="17"/>
      <c r="D29" s="13">
        <f>D30+D36+D45</f>
        <v>106425898.73999999</v>
      </c>
    </row>
    <row r="30" spans="1:4" s="3" customFormat="1" ht="37.5" customHeight="1">
      <c r="A30" s="18" t="s">
        <v>173</v>
      </c>
      <c r="B30" s="19" t="s">
        <v>2</v>
      </c>
      <c r="C30" s="19"/>
      <c r="D30" s="14">
        <f>SUM(D31:D35)</f>
        <v>86020405.789999992</v>
      </c>
    </row>
    <row r="31" spans="1:4" ht="133.5" customHeight="1">
      <c r="A31" s="20" t="s">
        <v>174</v>
      </c>
      <c r="B31" s="12" t="s">
        <v>3</v>
      </c>
      <c r="C31" s="12">
        <v>100</v>
      </c>
      <c r="D31" s="5">
        <f>1268824.55+234360</f>
        <v>1503184.55</v>
      </c>
    </row>
    <row r="32" spans="1:4" ht="102.75" customHeight="1">
      <c r="A32" s="11" t="s">
        <v>175</v>
      </c>
      <c r="B32" s="12" t="s">
        <v>3</v>
      </c>
      <c r="C32" s="12">
        <v>200</v>
      </c>
      <c r="D32" s="5">
        <f>366700+804.43</f>
        <v>367504.43</v>
      </c>
    </row>
    <row r="33" spans="1:5" ht="120.75" customHeight="1">
      <c r="A33" s="20" t="s">
        <v>176</v>
      </c>
      <c r="B33" s="12" t="s">
        <v>3</v>
      </c>
      <c r="C33" s="12">
        <v>600</v>
      </c>
      <c r="D33" s="5">
        <f>33759565.39+2819350.8+615140.92-0.3</f>
        <v>37194056.810000002</v>
      </c>
    </row>
    <row r="34" spans="1:5" ht="94.5" customHeight="1">
      <c r="A34" s="20" t="s">
        <v>403</v>
      </c>
      <c r="B34" s="12" t="s">
        <v>4</v>
      </c>
      <c r="C34" s="12">
        <v>600</v>
      </c>
      <c r="D34" s="5">
        <v>30000</v>
      </c>
    </row>
    <row r="35" spans="1:5" ht="169.5" customHeight="1">
      <c r="A35" s="20" t="s">
        <v>426</v>
      </c>
      <c r="B35" s="12" t="s">
        <v>386</v>
      </c>
      <c r="C35" s="12">
        <v>600</v>
      </c>
      <c r="D35" s="5">
        <f>41965417+4960243</f>
        <v>46925660</v>
      </c>
    </row>
    <row r="36" spans="1:5" s="3" customFormat="1" ht="49.5" customHeight="1">
      <c r="A36" s="18" t="s">
        <v>5</v>
      </c>
      <c r="B36" s="19" t="s">
        <v>161</v>
      </c>
      <c r="C36" s="19"/>
      <c r="D36" s="14">
        <f>SUM(D37:D44)</f>
        <v>18584926.219999999</v>
      </c>
    </row>
    <row r="37" spans="1:5" ht="75" customHeight="1">
      <c r="A37" s="20" t="s">
        <v>143</v>
      </c>
      <c r="B37" s="12" t="s">
        <v>6</v>
      </c>
      <c r="C37" s="12">
        <v>600</v>
      </c>
      <c r="D37" s="5">
        <f>490200+346430.72</f>
        <v>836630.72</v>
      </c>
    </row>
    <row r="38" spans="1:5" ht="93" customHeight="1">
      <c r="A38" s="20" t="s">
        <v>470</v>
      </c>
      <c r="B38" s="12" t="s">
        <v>469</v>
      </c>
      <c r="C38" s="12">
        <v>600</v>
      </c>
      <c r="D38" s="5">
        <v>545400</v>
      </c>
    </row>
    <row r="39" spans="1:5" ht="101.25" customHeight="1">
      <c r="A39" s="20" t="s">
        <v>655</v>
      </c>
      <c r="B39" s="12" t="s">
        <v>654</v>
      </c>
      <c r="C39" s="12">
        <v>600</v>
      </c>
      <c r="D39" s="5">
        <v>241433.87</v>
      </c>
    </row>
    <row r="40" spans="1:5" ht="101.25" customHeight="1">
      <c r="A40" s="20" t="s">
        <v>686</v>
      </c>
      <c r="B40" s="12" t="s">
        <v>684</v>
      </c>
      <c r="C40" s="12">
        <v>600</v>
      </c>
      <c r="D40" s="5">
        <v>550000</v>
      </c>
    </row>
    <row r="41" spans="1:5" ht="101.25" customHeight="1">
      <c r="A41" s="20" t="s">
        <v>687</v>
      </c>
      <c r="B41" s="12" t="s">
        <v>685</v>
      </c>
      <c r="C41" s="12">
        <v>600</v>
      </c>
      <c r="D41" s="5">
        <v>550000</v>
      </c>
    </row>
    <row r="42" spans="1:5" ht="101.25" customHeight="1">
      <c r="A42" s="20" t="s">
        <v>716</v>
      </c>
      <c r="B42" s="12" t="s">
        <v>688</v>
      </c>
      <c r="C42" s="12">
        <v>600</v>
      </c>
      <c r="D42" s="5">
        <v>165000</v>
      </c>
    </row>
    <row r="43" spans="1:5" ht="86.25" customHeight="1">
      <c r="A43" s="20" t="s">
        <v>690</v>
      </c>
      <c r="B43" s="12" t="s">
        <v>689</v>
      </c>
      <c r="C43" s="12">
        <v>600</v>
      </c>
      <c r="D43" s="5">
        <v>4414505</v>
      </c>
    </row>
    <row r="44" spans="1:5" ht="125.25" customHeight="1">
      <c r="A44" s="20" t="s">
        <v>596</v>
      </c>
      <c r="B44" s="12" t="s">
        <v>595</v>
      </c>
      <c r="C44" s="12">
        <v>600</v>
      </c>
      <c r="D44" s="5">
        <f>8000000+80808.08+2717858.8+27453.12+455836.33+0.3</f>
        <v>11281956.629999999</v>
      </c>
    </row>
    <row r="45" spans="1:5" s="3" customFormat="1" ht="68.25" customHeight="1">
      <c r="A45" s="18" t="s">
        <v>177</v>
      </c>
      <c r="B45" s="19" t="s">
        <v>7</v>
      </c>
      <c r="C45" s="19"/>
      <c r="D45" s="14">
        <f>SUM(D46:D49)</f>
        <v>1820566.73</v>
      </c>
    </row>
    <row r="46" spans="1:5" ht="171.75" customHeight="1">
      <c r="A46" s="20" t="s">
        <v>162</v>
      </c>
      <c r="B46" s="12" t="s">
        <v>8</v>
      </c>
      <c r="C46" s="12">
        <v>600</v>
      </c>
      <c r="D46" s="5">
        <f>439140-19871</f>
        <v>419269</v>
      </c>
    </row>
    <row r="47" spans="1:5" ht="114" customHeight="1">
      <c r="A47" s="20" t="s">
        <v>178</v>
      </c>
      <c r="B47" s="12" t="s">
        <v>9</v>
      </c>
      <c r="C47" s="12">
        <v>300</v>
      </c>
      <c r="D47" s="5">
        <f>752210.16+203231.97</f>
        <v>955442.13</v>
      </c>
    </row>
    <row r="48" spans="1:5" ht="396" customHeight="1">
      <c r="A48" s="11" t="s">
        <v>608</v>
      </c>
      <c r="B48" s="12" t="s">
        <v>550</v>
      </c>
      <c r="C48" s="12">
        <v>200</v>
      </c>
      <c r="D48" s="5">
        <v>12000</v>
      </c>
      <c r="E48" s="30"/>
    </row>
    <row r="49" spans="1:5" ht="409.5" customHeight="1">
      <c r="A49" s="11" t="s">
        <v>551</v>
      </c>
      <c r="B49" s="12" t="s">
        <v>550</v>
      </c>
      <c r="C49" s="12">
        <v>600</v>
      </c>
      <c r="D49" s="5">
        <f>498285.6-64430</f>
        <v>433855.6</v>
      </c>
    </row>
    <row r="50" spans="1:5" s="4" customFormat="1" ht="78.75" customHeight="1">
      <c r="A50" s="16" t="s">
        <v>179</v>
      </c>
      <c r="B50" s="17" t="s">
        <v>10</v>
      </c>
      <c r="C50" s="17"/>
      <c r="D50" s="13">
        <f>D51+D64+D80+D82</f>
        <v>178316444.56</v>
      </c>
    </row>
    <row r="51" spans="1:5" s="3" customFormat="1" ht="48" customHeight="1">
      <c r="A51" s="18" t="s">
        <v>180</v>
      </c>
      <c r="B51" s="19" t="s">
        <v>11</v>
      </c>
      <c r="C51" s="19"/>
      <c r="D51" s="14">
        <f>SUM(D52:D63)</f>
        <v>153405233.16</v>
      </c>
    </row>
    <row r="52" spans="1:5" ht="131.25">
      <c r="A52" s="20" t="s">
        <v>181</v>
      </c>
      <c r="B52" s="12" t="s">
        <v>12</v>
      </c>
      <c r="C52" s="12">
        <v>100</v>
      </c>
      <c r="D52" s="5">
        <f>5744271.93+1378036.8</f>
        <v>7122308.7299999995</v>
      </c>
    </row>
    <row r="53" spans="1:5" ht="117" customHeight="1">
      <c r="A53" s="20" t="s">
        <v>182</v>
      </c>
      <c r="B53" s="12" t="s">
        <v>12</v>
      </c>
      <c r="C53" s="12">
        <v>200</v>
      </c>
      <c r="D53" s="5">
        <f>10311081.92+14647.59-30.43+155616.79+151394.8+818184.66</f>
        <v>11450895.33</v>
      </c>
    </row>
    <row r="54" spans="1:5" ht="102.75" customHeight="1">
      <c r="A54" s="20" t="s">
        <v>144</v>
      </c>
      <c r="B54" s="12" t="s">
        <v>12</v>
      </c>
      <c r="C54" s="12">
        <v>600</v>
      </c>
      <c r="D54" s="5">
        <f>20369091.16+815572.8+585958.74</f>
        <v>21770622.699999999</v>
      </c>
    </row>
    <row r="55" spans="1:5" ht="91.5" customHeight="1">
      <c r="A55" s="20" t="s">
        <v>183</v>
      </c>
      <c r="B55" s="12" t="s">
        <v>12</v>
      </c>
      <c r="C55" s="12">
        <v>800</v>
      </c>
      <c r="D55" s="5">
        <v>297748.40000000002</v>
      </c>
    </row>
    <row r="56" spans="1:5" ht="69.75" customHeight="1">
      <c r="A56" s="20" t="s">
        <v>657</v>
      </c>
      <c r="B56" s="12" t="s">
        <v>656</v>
      </c>
      <c r="C56" s="12">
        <v>200</v>
      </c>
      <c r="D56" s="5">
        <v>55000</v>
      </c>
    </row>
    <row r="57" spans="1:5" ht="234.75" customHeight="1">
      <c r="A57" s="20" t="s">
        <v>496</v>
      </c>
      <c r="B57" s="35" t="s">
        <v>497</v>
      </c>
      <c r="C57" s="12">
        <v>100</v>
      </c>
      <c r="D57" s="5">
        <f>36237779.25-437</f>
        <v>36237342.25</v>
      </c>
      <c r="E57" s="30"/>
    </row>
    <row r="58" spans="1:5" ht="189" customHeight="1">
      <c r="A58" s="20" t="s">
        <v>498</v>
      </c>
      <c r="B58" s="35" t="s">
        <v>497</v>
      </c>
      <c r="C58" s="12">
        <v>200</v>
      </c>
      <c r="D58" s="5">
        <f>465736+437</f>
        <v>466173</v>
      </c>
    </row>
    <row r="59" spans="1:5" ht="207.75" customHeight="1">
      <c r="A59" s="20" t="s">
        <v>499</v>
      </c>
      <c r="B59" s="35" t="s">
        <v>497</v>
      </c>
      <c r="C59" s="12">
        <v>600</v>
      </c>
      <c r="D59" s="5">
        <v>62256022.75</v>
      </c>
      <c r="E59" s="30"/>
    </row>
    <row r="60" spans="1:5" ht="200.25" customHeight="1">
      <c r="A60" s="20" t="s">
        <v>615</v>
      </c>
      <c r="B60" s="35" t="s">
        <v>597</v>
      </c>
      <c r="C60" s="12">
        <v>100</v>
      </c>
      <c r="D60" s="5">
        <v>2202984</v>
      </c>
      <c r="E60" s="30"/>
    </row>
    <row r="61" spans="1:5" ht="184.5" customHeight="1">
      <c r="A61" s="20" t="s">
        <v>616</v>
      </c>
      <c r="B61" s="35" t="s">
        <v>597</v>
      </c>
      <c r="C61" s="12">
        <v>600</v>
      </c>
      <c r="D61" s="5">
        <v>2952936</v>
      </c>
    </row>
    <row r="62" spans="1:5" ht="282.75" customHeight="1">
      <c r="A62" s="20" t="s">
        <v>536</v>
      </c>
      <c r="B62" s="35" t="s">
        <v>535</v>
      </c>
      <c r="C62" s="12">
        <v>100</v>
      </c>
      <c r="D62" s="5">
        <f>3749760-78120</f>
        <v>3671640</v>
      </c>
    </row>
    <row r="63" spans="1:5" ht="248.25" customHeight="1">
      <c r="A63" s="20" t="s">
        <v>537</v>
      </c>
      <c r="B63" s="35" t="s">
        <v>535</v>
      </c>
      <c r="C63" s="12">
        <v>600</v>
      </c>
      <c r="D63" s="5">
        <f>4999680-78120</f>
        <v>4921560</v>
      </c>
      <c r="E63" s="30"/>
    </row>
    <row r="64" spans="1:5" s="3" customFormat="1" ht="39" customHeight="1">
      <c r="A64" s="18" t="s">
        <v>342</v>
      </c>
      <c r="B64" s="19" t="s">
        <v>13</v>
      </c>
      <c r="C64" s="19"/>
      <c r="D64" s="14">
        <f>SUM(D65:D79)</f>
        <v>20838990.559999995</v>
      </c>
    </row>
    <row r="65" spans="1:5" ht="75">
      <c r="A65" s="20" t="s">
        <v>145</v>
      </c>
      <c r="B65" s="12" t="s">
        <v>14</v>
      </c>
      <c r="C65" s="12">
        <v>600</v>
      </c>
      <c r="D65" s="5">
        <f>5274118.6+937440</f>
        <v>6211558.5999999996</v>
      </c>
    </row>
    <row r="66" spans="1:5" ht="76.5" customHeight="1">
      <c r="A66" s="20" t="s">
        <v>151</v>
      </c>
      <c r="B66" s="12" t="s">
        <v>15</v>
      </c>
      <c r="C66" s="12">
        <v>200</v>
      </c>
      <c r="D66" s="5">
        <v>443200</v>
      </c>
    </row>
    <row r="67" spans="1:5" ht="74.25" customHeight="1">
      <c r="A67" s="20" t="s">
        <v>146</v>
      </c>
      <c r="B67" s="12" t="s">
        <v>15</v>
      </c>
      <c r="C67" s="12">
        <v>600</v>
      </c>
      <c r="D67" s="5">
        <v>415000</v>
      </c>
    </row>
    <row r="68" spans="1:5" ht="75" customHeight="1">
      <c r="A68" s="11" t="s">
        <v>472</v>
      </c>
      <c r="B68" s="12" t="s">
        <v>471</v>
      </c>
      <c r="C68" s="12">
        <v>600</v>
      </c>
      <c r="D68" s="5">
        <v>1346400</v>
      </c>
    </row>
    <row r="69" spans="1:5" ht="75" customHeight="1">
      <c r="A69" s="11" t="s">
        <v>659</v>
      </c>
      <c r="B69" s="12" t="s">
        <v>658</v>
      </c>
      <c r="C69" s="12">
        <v>200</v>
      </c>
      <c r="D69" s="5">
        <v>600000</v>
      </c>
    </row>
    <row r="70" spans="1:5" ht="75" customHeight="1">
      <c r="A70" s="11" t="s">
        <v>661</v>
      </c>
      <c r="B70" s="12" t="s">
        <v>660</v>
      </c>
      <c r="C70" s="12">
        <v>200</v>
      </c>
      <c r="D70" s="5">
        <v>599992.28</v>
      </c>
    </row>
    <row r="71" spans="1:5" ht="75" customHeight="1">
      <c r="A71" s="11" t="s">
        <v>663</v>
      </c>
      <c r="B71" s="12" t="s">
        <v>662</v>
      </c>
      <c r="C71" s="12">
        <v>200</v>
      </c>
      <c r="D71" s="5">
        <v>508564.35</v>
      </c>
    </row>
    <row r="72" spans="1:5" ht="75" customHeight="1">
      <c r="A72" s="11" t="s">
        <v>665</v>
      </c>
      <c r="B72" s="12" t="s">
        <v>664</v>
      </c>
      <c r="C72" s="12">
        <v>200</v>
      </c>
      <c r="D72" s="5">
        <v>280800</v>
      </c>
    </row>
    <row r="73" spans="1:5" ht="75" customHeight="1">
      <c r="A73" s="11" t="s">
        <v>667</v>
      </c>
      <c r="B73" s="12" t="s">
        <v>666</v>
      </c>
      <c r="C73" s="12">
        <v>200</v>
      </c>
      <c r="D73" s="5">
        <v>280800</v>
      </c>
    </row>
    <row r="74" spans="1:5" ht="86.25" customHeight="1">
      <c r="A74" s="11" t="s">
        <v>715</v>
      </c>
      <c r="B74" s="12" t="s">
        <v>691</v>
      </c>
      <c r="C74" s="12">
        <v>600</v>
      </c>
      <c r="D74" s="5">
        <v>250000</v>
      </c>
    </row>
    <row r="75" spans="1:5" ht="408.75" customHeight="1">
      <c r="A75" s="11" t="s">
        <v>538</v>
      </c>
      <c r="B75" s="12" t="s">
        <v>533</v>
      </c>
      <c r="C75" s="37">
        <v>200</v>
      </c>
      <c r="D75" s="5">
        <v>12750</v>
      </c>
      <c r="E75" s="30"/>
    </row>
    <row r="76" spans="1:5" ht="408.75" customHeight="1">
      <c r="A76" s="11" t="s">
        <v>539</v>
      </c>
      <c r="B76" s="12" t="s">
        <v>533</v>
      </c>
      <c r="C76" s="37">
        <v>600</v>
      </c>
      <c r="D76" s="5">
        <f>289741.2-979.2</f>
        <v>288762</v>
      </c>
      <c r="E76" s="30"/>
    </row>
    <row r="77" spans="1:5" ht="137.25" customHeight="1">
      <c r="A77" s="11" t="s">
        <v>510</v>
      </c>
      <c r="B77" s="12" t="s">
        <v>452</v>
      </c>
      <c r="C77" s="12">
        <v>200</v>
      </c>
      <c r="D77" s="5">
        <f>969628.6+685.6-147491.1+2343.33</f>
        <v>825166.42999999993</v>
      </c>
    </row>
    <row r="78" spans="1:5" ht="129" customHeight="1">
      <c r="A78" s="11" t="s">
        <v>511</v>
      </c>
      <c r="B78" s="12" t="s">
        <v>452</v>
      </c>
      <c r="C78" s="12">
        <v>600</v>
      </c>
      <c r="D78" s="5">
        <f>7393199.26+5227.51+256928.74+22957.17</f>
        <v>7678312.6799999997</v>
      </c>
    </row>
    <row r="79" spans="1:5" ht="78.75" customHeight="1">
      <c r="A79" s="11" t="s">
        <v>618</v>
      </c>
      <c r="B79" s="12" t="s">
        <v>617</v>
      </c>
      <c r="C79" s="12">
        <v>600</v>
      </c>
      <c r="D79" s="5">
        <f>1042800+10533.33+44350.88+0.01</f>
        <v>1097684.22</v>
      </c>
    </row>
    <row r="80" spans="1:5" ht="53.25" customHeight="1">
      <c r="A80" s="21" t="s">
        <v>432</v>
      </c>
      <c r="B80" s="19" t="s">
        <v>534</v>
      </c>
      <c r="C80" s="19"/>
      <c r="D80" s="14">
        <f>D81</f>
        <v>2473566.86</v>
      </c>
    </row>
    <row r="81" spans="1:4" ht="146.25" customHeight="1">
      <c r="A81" s="11" t="s">
        <v>541</v>
      </c>
      <c r="B81" s="12" t="s">
        <v>540</v>
      </c>
      <c r="C81" s="36">
        <v>600</v>
      </c>
      <c r="D81" s="5">
        <f>2827808.09+285.64-355555.56+1028.69</f>
        <v>2473566.86</v>
      </c>
    </row>
    <row r="82" spans="1:4" ht="37.5" customHeight="1">
      <c r="A82" s="21" t="s">
        <v>619</v>
      </c>
      <c r="B82" s="19" t="s">
        <v>622</v>
      </c>
      <c r="C82" s="19"/>
      <c r="D82" s="5">
        <f>SUM(D83:D84)</f>
        <v>1598653.98</v>
      </c>
    </row>
    <row r="83" spans="1:4" ht="185.25" customHeight="1">
      <c r="A83" s="11" t="s">
        <v>620</v>
      </c>
      <c r="B83" s="12" t="s">
        <v>623</v>
      </c>
      <c r="C83" s="12">
        <v>100</v>
      </c>
      <c r="D83" s="5">
        <v>913516.53</v>
      </c>
    </row>
    <row r="84" spans="1:4" ht="147.75" customHeight="1">
      <c r="A84" s="11" t="s">
        <v>621</v>
      </c>
      <c r="B84" s="12" t="s">
        <v>623</v>
      </c>
      <c r="C84" s="12">
        <v>600</v>
      </c>
      <c r="D84" s="5">
        <v>685137.45</v>
      </c>
    </row>
    <row r="85" spans="1:4" ht="46.5" customHeight="1">
      <c r="A85" s="16" t="s">
        <v>17</v>
      </c>
      <c r="B85" s="17" t="s">
        <v>16</v>
      </c>
      <c r="C85" s="17"/>
      <c r="D85" s="13">
        <f>D86+D88+D90+D93</f>
        <v>19921464.340000004</v>
      </c>
    </row>
    <row r="86" spans="1:4" ht="54" customHeight="1">
      <c r="A86" s="18" t="s">
        <v>19</v>
      </c>
      <c r="B86" s="19" t="s">
        <v>18</v>
      </c>
      <c r="C86" s="19"/>
      <c r="D86" s="14">
        <f>SUM(D87:D87)</f>
        <v>14922230.940000001</v>
      </c>
    </row>
    <row r="87" spans="1:4" ht="68.25" customHeight="1">
      <c r="A87" s="20" t="s">
        <v>147</v>
      </c>
      <c r="B87" s="12" t="s">
        <v>20</v>
      </c>
      <c r="C87" s="12">
        <v>600</v>
      </c>
      <c r="D87" s="5">
        <f>11253013.64+6091566.46+58220.84-547670-2005600+72700</f>
        <v>14922230.940000001</v>
      </c>
    </row>
    <row r="88" spans="1:4" ht="37.5">
      <c r="A88" s="18" t="s">
        <v>359</v>
      </c>
      <c r="B88" s="19" t="s">
        <v>360</v>
      </c>
      <c r="C88" s="19"/>
      <c r="D88" s="14">
        <f>SUM(D89:D92)</f>
        <v>715533.4</v>
      </c>
    </row>
    <row r="89" spans="1:4" ht="75">
      <c r="A89" s="20" t="s">
        <v>363</v>
      </c>
      <c r="B89" s="12" t="s">
        <v>361</v>
      </c>
      <c r="C89" s="12">
        <v>600</v>
      </c>
      <c r="D89" s="5">
        <v>151600</v>
      </c>
    </row>
    <row r="90" spans="1:4" ht="0.75" hidden="1" customHeight="1">
      <c r="A90" s="21" t="s">
        <v>432</v>
      </c>
      <c r="B90" s="19" t="s">
        <v>465</v>
      </c>
      <c r="C90" s="17"/>
      <c r="D90" s="5"/>
    </row>
    <row r="91" spans="1:4" ht="75" hidden="1">
      <c r="A91" s="20" t="s">
        <v>467</v>
      </c>
      <c r="B91" s="12" t="s">
        <v>466</v>
      </c>
      <c r="C91" s="12">
        <v>600</v>
      </c>
      <c r="D91" s="5"/>
    </row>
    <row r="92" spans="1:4" ht="56.25">
      <c r="A92" s="20" t="s">
        <v>693</v>
      </c>
      <c r="B92" s="12" t="s">
        <v>692</v>
      </c>
      <c r="C92" s="12">
        <v>600</v>
      </c>
      <c r="D92" s="5">
        <v>563933.4</v>
      </c>
    </row>
    <row r="93" spans="1:4" ht="56.25">
      <c r="A93" s="18" t="s">
        <v>542</v>
      </c>
      <c r="B93" s="19" t="s">
        <v>543</v>
      </c>
      <c r="C93" s="19"/>
      <c r="D93" s="14">
        <f>SUM(D94:D95)</f>
        <v>4283700.0000000009</v>
      </c>
    </row>
    <row r="94" spans="1:4" ht="75">
      <c r="A94" s="20" t="s">
        <v>544</v>
      </c>
      <c r="B94" s="12" t="s">
        <v>545</v>
      </c>
      <c r="C94" s="12">
        <v>600</v>
      </c>
      <c r="D94" s="5">
        <f>1715520.56+553892.14+2002155.6</f>
        <v>4271568.3000000007</v>
      </c>
    </row>
    <row r="95" spans="1:4" ht="56.25">
      <c r="A95" s="20" t="s">
        <v>546</v>
      </c>
      <c r="B95" s="12" t="s">
        <v>545</v>
      </c>
      <c r="C95" s="12">
        <v>800</v>
      </c>
      <c r="D95" s="5">
        <f>14909.44-6222.14+3444.4</f>
        <v>12131.699999999999</v>
      </c>
    </row>
    <row r="96" spans="1:4" s="4" customFormat="1" ht="48" customHeight="1">
      <c r="A96" s="16" t="s">
        <v>22</v>
      </c>
      <c r="B96" s="17" t="s">
        <v>21</v>
      </c>
      <c r="C96" s="17"/>
      <c r="D96" s="13">
        <f t="shared" ref="D96" si="0">D97+D101</f>
        <v>967394</v>
      </c>
    </row>
    <row r="97" spans="1:4" s="3" customFormat="1" ht="36.75" customHeight="1">
      <c r="A97" s="18" t="s">
        <v>168</v>
      </c>
      <c r="B97" s="19" t="s">
        <v>23</v>
      </c>
      <c r="C97" s="19"/>
      <c r="D97" s="14">
        <f t="shared" ref="D97" si="1">SUM(D98:D100)</f>
        <v>907754</v>
      </c>
    </row>
    <row r="98" spans="1:4" ht="56.25">
      <c r="A98" s="20" t="s">
        <v>420</v>
      </c>
      <c r="B98" s="12" t="s">
        <v>25</v>
      </c>
      <c r="C98" s="12">
        <v>600</v>
      </c>
      <c r="D98" s="5">
        <v>22100</v>
      </c>
    </row>
    <row r="99" spans="1:4" s="4" customFormat="1" ht="75">
      <c r="A99" s="20" t="s">
        <v>418</v>
      </c>
      <c r="B99" s="12" t="s">
        <v>24</v>
      </c>
      <c r="C99" s="12">
        <v>200</v>
      </c>
      <c r="D99" s="5">
        <f>20874+8946</f>
        <v>29820</v>
      </c>
    </row>
    <row r="100" spans="1:4" s="3" customFormat="1" ht="75">
      <c r="A100" s="20" t="s">
        <v>419</v>
      </c>
      <c r="B100" s="12" t="s">
        <v>24</v>
      </c>
      <c r="C100" s="12">
        <v>600</v>
      </c>
      <c r="D100" s="5">
        <f>605346+250488</f>
        <v>855834</v>
      </c>
    </row>
    <row r="101" spans="1:4" ht="50.25" customHeight="1">
      <c r="A101" s="18" t="s">
        <v>163</v>
      </c>
      <c r="B101" s="19" t="s">
        <v>26</v>
      </c>
      <c r="C101" s="19"/>
      <c r="D101" s="14">
        <f t="shared" ref="D101" si="2">D102</f>
        <v>59640</v>
      </c>
    </row>
    <row r="102" spans="1:4" ht="96" customHeight="1">
      <c r="A102" s="20" t="s">
        <v>164</v>
      </c>
      <c r="B102" s="12" t="s">
        <v>27</v>
      </c>
      <c r="C102" s="12">
        <v>200</v>
      </c>
      <c r="D102" s="5">
        <f>56700+2940</f>
        <v>59640</v>
      </c>
    </row>
    <row r="103" spans="1:4" ht="31.5" customHeight="1">
      <c r="A103" s="16" t="s">
        <v>184</v>
      </c>
      <c r="B103" s="17" t="s">
        <v>28</v>
      </c>
      <c r="C103" s="17"/>
      <c r="D103" s="13">
        <f t="shared" ref="D103" si="3">D104</f>
        <v>189590</v>
      </c>
    </row>
    <row r="104" spans="1:4" ht="45" customHeight="1">
      <c r="A104" s="18" t="s">
        <v>185</v>
      </c>
      <c r="B104" s="19" t="s">
        <v>29</v>
      </c>
      <c r="C104" s="19"/>
      <c r="D104" s="14">
        <f t="shared" ref="D104" si="4">SUM(D105:D109)</f>
        <v>189590</v>
      </c>
    </row>
    <row r="105" spans="1:4" s="3" customFormat="1" ht="118.5" customHeight="1">
      <c r="A105" s="20" t="s">
        <v>186</v>
      </c>
      <c r="B105" s="12" t="s">
        <v>30</v>
      </c>
      <c r="C105" s="12">
        <v>200</v>
      </c>
      <c r="D105" s="5">
        <v>19590</v>
      </c>
    </row>
    <row r="106" spans="1:4" ht="119.25" customHeight="1">
      <c r="A106" s="20" t="s">
        <v>370</v>
      </c>
      <c r="B106" s="12" t="s">
        <v>30</v>
      </c>
      <c r="C106" s="12">
        <v>600</v>
      </c>
      <c r="D106" s="5">
        <v>65000</v>
      </c>
    </row>
    <row r="107" spans="1:4" s="4" customFormat="1" ht="99.75" customHeight="1">
      <c r="A107" s="20" t="s">
        <v>187</v>
      </c>
      <c r="B107" s="12" t="s">
        <v>31</v>
      </c>
      <c r="C107" s="12">
        <v>200</v>
      </c>
      <c r="D107" s="5">
        <f>8000+35000</f>
        <v>43000</v>
      </c>
    </row>
    <row r="108" spans="1:4" s="4" customFormat="1" ht="99" customHeight="1">
      <c r="A108" s="20" t="s">
        <v>336</v>
      </c>
      <c r="B108" s="12" t="s">
        <v>31</v>
      </c>
      <c r="C108" s="12">
        <v>600</v>
      </c>
      <c r="D108" s="5">
        <f>22000+30000</f>
        <v>52000</v>
      </c>
    </row>
    <row r="109" spans="1:4" s="4" customFormat="1" ht="78.75" customHeight="1">
      <c r="A109" s="20" t="s">
        <v>371</v>
      </c>
      <c r="B109" s="12" t="s">
        <v>366</v>
      </c>
      <c r="C109" s="12">
        <v>600</v>
      </c>
      <c r="D109" s="5">
        <v>10000</v>
      </c>
    </row>
    <row r="110" spans="1:4" s="3" customFormat="1" ht="49.5" customHeight="1">
      <c r="A110" s="22" t="s">
        <v>33</v>
      </c>
      <c r="B110" s="17" t="s">
        <v>32</v>
      </c>
      <c r="C110" s="17"/>
      <c r="D110" s="13">
        <f t="shared" ref="D110" si="5">D111</f>
        <v>50000</v>
      </c>
    </row>
    <row r="111" spans="1:4" ht="53.25" customHeight="1">
      <c r="A111" s="18" t="s">
        <v>35</v>
      </c>
      <c r="B111" s="19" t="s">
        <v>34</v>
      </c>
      <c r="C111" s="19"/>
      <c r="D111" s="14">
        <f t="shared" ref="D111" si="6">SUM(D112:D113)</f>
        <v>50000</v>
      </c>
    </row>
    <row r="112" spans="1:4" ht="111" customHeight="1">
      <c r="A112" s="20" t="s">
        <v>152</v>
      </c>
      <c r="B112" s="12" t="s">
        <v>36</v>
      </c>
      <c r="C112" s="12">
        <v>200</v>
      </c>
      <c r="D112" s="5">
        <v>30000</v>
      </c>
    </row>
    <row r="113" spans="1:4" ht="109.5" customHeight="1">
      <c r="A113" s="20" t="s">
        <v>149</v>
      </c>
      <c r="B113" s="12" t="s">
        <v>36</v>
      </c>
      <c r="C113" s="12">
        <v>600</v>
      </c>
      <c r="D113" s="5">
        <v>20000</v>
      </c>
    </row>
    <row r="114" spans="1:4" ht="69.75" customHeight="1">
      <c r="A114" s="16" t="s">
        <v>188</v>
      </c>
      <c r="B114" s="17" t="s">
        <v>37</v>
      </c>
      <c r="C114" s="17"/>
      <c r="D114" s="13">
        <f t="shared" ref="D114" si="7">D115</f>
        <v>14327557.75</v>
      </c>
    </row>
    <row r="115" spans="1:4" s="4" customFormat="1" ht="82.5" customHeight="1">
      <c r="A115" s="18" t="s">
        <v>341</v>
      </c>
      <c r="B115" s="19" t="s">
        <v>38</v>
      </c>
      <c r="C115" s="19"/>
      <c r="D115" s="14">
        <f t="shared" ref="D115" si="8">SUM(D116:D118)</f>
        <v>14327557.75</v>
      </c>
    </row>
    <row r="116" spans="1:4" s="3" customFormat="1" ht="93.75">
      <c r="A116" s="20" t="s">
        <v>136</v>
      </c>
      <c r="B116" s="12" t="s">
        <v>39</v>
      </c>
      <c r="C116" s="12">
        <v>100</v>
      </c>
      <c r="D116" s="5">
        <f>11305927.41+890568+81934.76</f>
        <v>12278430.17</v>
      </c>
    </row>
    <row r="117" spans="1:4" ht="71.25" customHeight="1">
      <c r="A117" s="20" t="s">
        <v>189</v>
      </c>
      <c r="B117" s="12" t="s">
        <v>39</v>
      </c>
      <c r="C117" s="12">
        <v>200</v>
      </c>
      <c r="D117" s="5">
        <f>1731564.9+46661.16+88493.57+159907.95</f>
        <v>2026627.5799999998</v>
      </c>
    </row>
    <row r="118" spans="1:4" ht="37.5">
      <c r="A118" s="20" t="s">
        <v>190</v>
      </c>
      <c r="B118" s="12" t="s">
        <v>39</v>
      </c>
      <c r="C118" s="12">
        <v>800</v>
      </c>
      <c r="D118" s="5">
        <v>22500</v>
      </c>
    </row>
    <row r="119" spans="1:4" ht="56.25">
      <c r="A119" s="16" t="s">
        <v>572</v>
      </c>
      <c r="B119" s="17" t="s">
        <v>573</v>
      </c>
      <c r="C119" s="17"/>
      <c r="D119" s="13">
        <f>D120</f>
        <v>40000</v>
      </c>
    </row>
    <row r="120" spans="1:4" ht="37.5">
      <c r="A120" s="18" t="s">
        <v>574</v>
      </c>
      <c r="B120" s="19" t="s">
        <v>575</v>
      </c>
      <c r="C120" s="19"/>
      <c r="D120" s="14">
        <f>D121</f>
        <v>40000</v>
      </c>
    </row>
    <row r="121" spans="1:4" ht="75">
      <c r="A121" s="20" t="s">
        <v>576</v>
      </c>
      <c r="B121" s="12" t="s">
        <v>577</v>
      </c>
      <c r="C121" s="12">
        <v>600</v>
      </c>
      <c r="D121" s="5">
        <v>40000</v>
      </c>
    </row>
    <row r="122" spans="1:4" ht="56.25">
      <c r="A122" s="16" t="s">
        <v>433</v>
      </c>
      <c r="B122" s="17" t="s">
        <v>434</v>
      </c>
      <c r="C122" s="17"/>
      <c r="D122" s="13">
        <f t="shared" ref="D122:D123" si="9">D123</f>
        <v>15000</v>
      </c>
    </row>
    <row r="123" spans="1:4" ht="63.75" customHeight="1">
      <c r="A123" s="18" t="s">
        <v>435</v>
      </c>
      <c r="B123" s="19" t="s">
        <v>436</v>
      </c>
      <c r="C123" s="19"/>
      <c r="D123" s="14">
        <f t="shared" si="9"/>
        <v>15000</v>
      </c>
    </row>
    <row r="124" spans="1:4" ht="71.25" customHeight="1">
      <c r="A124" s="20" t="s">
        <v>438</v>
      </c>
      <c r="B124" s="12" t="s">
        <v>437</v>
      </c>
      <c r="C124" s="12">
        <v>200</v>
      </c>
      <c r="D124" s="5">
        <v>15000</v>
      </c>
    </row>
    <row r="125" spans="1:4" s="4" customFormat="1" ht="69" customHeight="1">
      <c r="A125" s="16" t="s">
        <v>404</v>
      </c>
      <c r="B125" s="17" t="s">
        <v>40</v>
      </c>
      <c r="C125" s="17"/>
      <c r="D125" s="13">
        <f>D126+D140+D147+D154+D174+D183+D187+D150</f>
        <v>60213281.020000003</v>
      </c>
    </row>
    <row r="126" spans="1:4" s="3" customFormat="1" ht="53.25" customHeight="1">
      <c r="A126" s="16" t="s">
        <v>191</v>
      </c>
      <c r="B126" s="17" t="s">
        <v>41</v>
      </c>
      <c r="C126" s="17"/>
      <c r="D126" s="13">
        <f t="shared" ref="D126" si="10">D127</f>
        <v>34384089.649999999</v>
      </c>
    </row>
    <row r="127" spans="1:4" s="4" customFormat="1" ht="88.5" customHeight="1">
      <c r="A127" s="21" t="s">
        <v>227</v>
      </c>
      <c r="B127" s="19" t="s">
        <v>228</v>
      </c>
      <c r="C127" s="19"/>
      <c r="D127" s="14">
        <f>SUM(D128:D139)</f>
        <v>34384089.649999999</v>
      </c>
    </row>
    <row r="128" spans="1:4" s="4" customFormat="1" ht="130.5" customHeight="1">
      <c r="A128" s="20" t="s">
        <v>593</v>
      </c>
      <c r="B128" s="12" t="s">
        <v>594</v>
      </c>
      <c r="C128" s="12">
        <v>500</v>
      </c>
      <c r="D128" s="5">
        <v>6163274</v>
      </c>
    </row>
    <row r="129" spans="1:4" s="4" customFormat="1" ht="81.75" customHeight="1">
      <c r="A129" s="20" t="s">
        <v>517</v>
      </c>
      <c r="B129" s="12" t="s">
        <v>516</v>
      </c>
      <c r="C129" s="12">
        <v>200</v>
      </c>
      <c r="D129" s="5">
        <f>123726.37-121044.51+158630.4+0.03+5686641.6+33984.24</f>
        <v>5881938.1299999999</v>
      </c>
    </row>
    <row r="130" spans="1:4" s="3" customFormat="1" ht="66.75" customHeight="1">
      <c r="A130" s="20" t="s">
        <v>449</v>
      </c>
      <c r="B130" s="12" t="s">
        <v>337</v>
      </c>
      <c r="C130" s="12">
        <v>200</v>
      </c>
      <c r="D130" s="5">
        <f>168024.28+83060+125357.5-33984.24+48386.66</f>
        <v>390844.20000000007</v>
      </c>
    </row>
    <row r="131" spans="1:4" s="3" customFormat="1" ht="114" customHeight="1">
      <c r="A131" s="20" t="s">
        <v>639</v>
      </c>
      <c r="B131" s="12" t="s">
        <v>636</v>
      </c>
      <c r="C131" s="12">
        <v>200</v>
      </c>
      <c r="D131" s="5">
        <f>1060000+1468000+590000</f>
        <v>3118000</v>
      </c>
    </row>
    <row r="132" spans="1:4" s="3" customFormat="1" ht="73.5" customHeight="1">
      <c r="A132" s="20" t="s">
        <v>695</v>
      </c>
      <c r="B132" s="12" t="s">
        <v>694</v>
      </c>
      <c r="C132" s="12">
        <v>200</v>
      </c>
      <c r="D132" s="5">
        <v>237217.23</v>
      </c>
    </row>
    <row r="133" spans="1:4" s="3" customFormat="1" ht="83.25" customHeight="1">
      <c r="A133" s="20" t="s">
        <v>638</v>
      </c>
      <c r="B133" s="12" t="s">
        <v>637</v>
      </c>
      <c r="C133" s="12">
        <v>400</v>
      </c>
      <c r="D133" s="5">
        <v>3472470.4</v>
      </c>
    </row>
    <row r="134" spans="1:4" s="3" customFormat="1" ht="99.75" customHeight="1">
      <c r="A134" s="20" t="s">
        <v>701</v>
      </c>
      <c r="B134" s="12" t="s">
        <v>696</v>
      </c>
      <c r="C134" s="12">
        <v>200</v>
      </c>
      <c r="D134" s="5">
        <v>983501.94</v>
      </c>
    </row>
    <row r="135" spans="1:4" s="3" customFormat="1" ht="100.5" customHeight="1">
      <c r="A135" s="20" t="s">
        <v>702</v>
      </c>
      <c r="B135" s="12" t="s">
        <v>697</v>
      </c>
      <c r="C135" s="12">
        <v>200</v>
      </c>
      <c r="D135" s="5">
        <v>634672.19999999995</v>
      </c>
    </row>
    <row r="136" spans="1:4" s="3" customFormat="1" ht="111.75" customHeight="1">
      <c r="A136" s="20" t="s">
        <v>703</v>
      </c>
      <c r="B136" s="12" t="s">
        <v>698</v>
      </c>
      <c r="C136" s="12">
        <v>200</v>
      </c>
      <c r="D136" s="5">
        <v>563418.78</v>
      </c>
    </row>
    <row r="137" spans="1:4" s="3" customFormat="1" ht="101.25" customHeight="1">
      <c r="A137" s="20" t="s">
        <v>704</v>
      </c>
      <c r="B137" s="12" t="s">
        <v>699</v>
      </c>
      <c r="C137" s="12">
        <v>200</v>
      </c>
      <c r="D137" s="5">
        <v>524200.56</v>
      </c>
    </row>
    <row r="138" spans="1:4" s="3" customFormat="1" ht="105.75" customHeight="1">
      <c r="A138" s="20" t="s">
        <v>705</v>
      </c>
      <c r="B138" s="12" t="s">
        <v>700</v>
      </c>
      <c r="C138" s="12">
        <v>200</v>
      </c>
      <c r="D138" s="5">
        <v>310101.65999999997</v>
      </c>
    </row>
    <row r="139" spans="1:4" s="3" customFormat="1" ht="118.5" customHeight="1">
      <c r="A139" s="20" t="s">
        <v>592</v>
      </c>
      <c r="B139" s="12" t="s">
        <v>591</v>
      </c>
      <c r="C139" s="12">
        <v>200</v>
      </c>
      <c r="D139" s="5">
        <f>11983406.04+121044.51</f>
        <v>12104450.549999999</v>
      </c>
    </row>
    <row r="140" spans="1:4" ht="54.75" customHeight="1">
      <c r="A140" s="16" t="s">
        <v>192</v>
      </c>
      <c r="B140" s="17" t="s">
        <v>42</v>
      </c>
      <c r="C140" s="17"/>
      <c r="D140" s="13">
        <f t="shared" ref="D140" si="11">D141</f>
        <v>167738.26</v>
      </c>
    </row>
    <row r="141" spans="1:4" ht="35.25" customHeight="1">
      <c r="A141" s="18" t="s">
        <v>193</v>
      </c>
      <c r="B141" s="19" t="s">
        <v>43</v>
      </c>
      <c r="C141" s="19"/>
      <c r="D141" s="14">
        <f>SUM(D142:D146)</f>
        <v>167738.26</v>
      </c>
    </row>
    <row r="142" spans="1:4" s="3" customFormat="1" ht="62.25" customHeight="1">
      <c r="A142" s="20" t="s">
        <v>229</v>
      </c>
      <c r="B142" s="12" t="s">
        <v>44</v>
      </c>
      <c r="C142" s="12">
        <v>200</v>
      </c>
      <c r="D142" s="5">
        <f>144744.92-48386.66</f>
        <v>96358.260000000009</v>
      </c>
    </row>
    <row r="143" spans="1:4" ht="117.75" customHeight="1">
      <c r="A143" s="20" t="s">
        <v>330</v>
      </c>
      <c r="B143" s="12" t="s">
        <v>45</v>
      </c>
      <c r="C143" s="12">
        <v>200</v>
      </c>
      <c r="D143" s="5">
        <f>20000+1380</f>
        <v>21380</v>
      </c>
    </row>
    <row r="144" spans="1:4" ht="111.75" customHeight="1">
      <c r="A144" s="20" t="s">
        <v>331</v>
      </c>
      <c r="B144" s="12" t="s">
        <v>45</v>
      </c>
      <c r="C144" s="12">
        <v>600</v>
      </c>
      <c r="D144" s="5">
        <v>20000</v>
      </c>
    </row>
    <row r="145" spans="1:4" s="4" customFormat="1" ht="78.75" customHeight="1">
      <c r="A145" s="20" t="s">
        <v>230</v>
      </c>
      <c r="B145" s="12" t="s">
        <v>231</v>
      </c>
      <c r="C145" s="12">
        <v>200</v>
      </c>
      <c r="D145" s="5">
        <v>20000</v>
      </c>
    </row>
    <row r="146" spans="1:4" s="4" customFormat="1" ht="75" customHeight="1">
      <c r="A146" s="20" t="s">
        <v>518</v>
      </c>
      <c r="B146" s="12" t="s">
        <v>231</v>
      </c>
      <c r="C146" s="12">
        <v>600</v>
      </c>
      <c r="D146" s="5">
        <v>10000</v>
      </c>
    </row>
    <row r="147" spans="1:4" s="3" customFormat="1" ht="94.5" customHeight="1">
      <c r="A147" s="23" t="s">
        <v>463</v>
      </c>
      <c r="B147" s="17" t="s">
        <v>46</v>
      </c>
      <c r="C147" s="17"/>
      <c r="D147" s="13">
        <f t="shared" ref="D147" si="12">D148</f>
        <v>4536904.45</v>
      </c>
    </row>
    <row r="148" spans="1:4" ht="58.5" customHeight="1">
      <c r="A148" s="18" t="s">
        <v>48</v>
      </c>
      <c r="B148" s="19" t="s">
        <v>47</v>
      </c>
      <c r="C148" s="19"/>
      <c r="D148" s="14">
        <f t="shared" ref="D148" si="13">SUM(D149:D149)</f>
        <v>4536904.45</v>
      </c>
    </row>
    <row r="149" spans="1:4" ht="93.75">
      <c r="A149" s="11" t="s">
        <v>416</v>
      </c>
      <c r="B149" s="12" t="s">
        <v>417</v>
      </c>
      <c r="C149" s="12">
        <v>200</v>
      </c>
      <c r="D149" s="5">
        <f>3725288+811616.45</f>
        <v>4536904.45</v>
      </c>
    </row>
    <row r="150" spans="1:4" ht="37.5">
      <c r="A150" s="23" t="s">
        <v>477</v>
      </c>
      <c r="B150" s="17" t="s">
        <v>473</v>
      </c>
      <c r="C150" s="17"/>
      <c r="D150" s="13">
        <f t="shared" ref="D150" si="14">D151</f>
        <v>2347870.58</v>
      </c>
    </row>
    <row r="151" spans="1:4" ht="37.5">
      <c r="A151" s="21" t="s">
        <v>478</v>
      </c>
      <c r="B151" s="19" t="s">
        <v>474</v>
      </c>
      <c r="C151" s="19"/>
      <c r="D151" s="14">
        <f t="shared" ref="D151" si="15">SUM(D152:D153)</f>
        <v>2347870.58</v>
      </c>
    </row>
    <row r="152" spans="1:4" ht="53.25" customHeight="1">
      <c r="A152" s="11" t="s">
        <v>479</v>
      </c>
      <c r="B152" s="12" t="s">
        <v>475</v>
      </c>
      <c r="C152" s="12">
        <v>200</v>
      </c>
      <c r="D152" s="5">
        <f>653347.18+1444523.4</f>
        <v>2097870.58</v>
      </c>
    </row>
    <row r="153" spans="1:4" ht="89.25" customHeight="1">
      <c r="A153" s="11" t="s">
        <v>480</v>
      </c>
      <c r="B153" s="12" t="s">
        <v>476</v>
      </c>
      <c r="C153" s="12">
        <v>200</v>
      </c>
      <c r="D153" s="5">
        <v>250000</v>
      </c>
    </row>
    <row r="154" spans="1:4" s="4" customFormat="1" ht="74.25" customHeight="1">
      <c r="A154" s="23" t="s">
        <v>232</v>
      </c>
      <c r="B154" s="17" t="s">
        <v>233</v>
      </c>
      <c r="C154" s="12"/>
      <c r="D154" s="13">
        <f>D159+D165+D168+D170+D155+D157</f>
        <v>8960471.7600000016</v>
      </c>
    </row>
    <row r="155" spans="1:4" s="3" customFormat="1" ht="45" customHeight="1">
      <c r="A155" s="21" t="s">
        <v>234</v>
      </c>
      <c r="B155" s="19" t="s">
        <v>235</v>
      </c>
      <c r="C155" s="12"/>
      <c r="D155" s="14">
        <f>D156</f>
        <v>1899446.79</v>
      </c>
    </row>
    <row r="156" spans="1:4" s="3" customFormat="1" ht="83.25" customHeight="1">
      <c r="A156" s="11" t="s">
        <v>514</v>
      </c>
      <c r="B156" s="12" t="s">
        <v>515</v>
      </c>
      <c r="C156" s="12">
        <v>200</v>
      </c>
      <c r="D156" s="5">
        <v>1899446.79</v>
      </c>
    </row>
    <row r="157" spans="1:4" s="3" customFormat="1" ht="54.75" customHeight="1">
      <c r="A157" s="21" t="s">
        <v>670</v>
      </c>
      <c r="B157" s="19" t="s">
        <v>668</v>
      </c>
      <c r="C157" s="19"/>
      <c r="D157" s="14">
        <f>D158</f>
        <v>126280</v>
      </c>
    </row>
    <row r="158" spans="1:4" s="3" customFormat="1" ht="70.5" customHeight="1">
      <c r="A158" s="11" t="s">
        <v>671</v>
      </c>
      <c r="B158" s="12" t="s">
        <v>669</v>
      </c>
      <c r="C158" s="12">
        <v>200</v>
      </c>
      <c r="D158" s="5">
        <v>126280</v>
      </c>
    </row>
    <row r="159" spans="1:4" ht="50.25" customHeight="1">
      <c r="A159" s="21" t="s">
        <v>236</v>
      </c>
      <c r="B159" s="19" t="s">
        <v>237</v>
      </c>
      <c r="C159" s="12"/>
      <c r="D159" s="14">
        <f>SUM(D160:D164)</f>
        <v>5583263.8399999999</v>
      </c>
    </row>
    <row r="160" spans="1:4" ht="83.25" customHeight="1">
      <c r="A160" s="11" t="s">
        <v>587</v>
      </c>
      <c r="B160" s="12" t="s">
        <v>588</v>
      </c>
      <c r="C160" s="12">
        <v>500</v>
      </c>
      <c r="D160" s="5">
        <f>706694.36+28267.8</f>
        <v>734962.16</v>
      </c>
    </row>
    <row r="161" spans="1:4" ht="96" customHeight="1">
      <c r="A161" s="11" t="s">
        <v>442</v>
      </c>
      <c r="B161" s="12" t="s">
        <v>443</v>
      </c>
      <c r="C161" s="12">
        <v>500</v>
      </c>
      <c r="D161" s="5">
        <v>500000</v>
      </c>
    </row>
    <row r="162" spans="1:4" ht="70.5" customHeight="1">
      <c r="A162" s="11" t="s">
        <v>378</v>
      </c>
      <c r="B162" s="12" t="s">
        <v>421</v>
      </c>
      <c r="C162" s="12">
        <v>200</v>
      </c>
      <c r="D162" s="5">
        <f>1700000-444160.82+44943.57-0.01-83060</f>
        <v>1217722.74</v>
      </c>
    </row>
    <row r="163" spans="1:4" ht="75" customHeight="1">
      <c r="A163" s="11" t="s">
        <v>427</v>
      </c>
      <c r="B163" s="12" t="s">
        <v>422</v>
      </c>
      <c r="C163" s="12">
        <v>200</v>
      </c>
      <c r="D163" s="5">
        <f>600000</f>
        <v>600000</v>
      </c>
    </row>
    <row r="164" spans="1:4" ht="75.75" customHeight="1">
      <c r="A164" s="11" t="s">
        <v>599</v>
      </c>
      <c r="B164" s="12" t="s">
        <v>598</v>
      </c>
      <c r="C164" s="12">
        <v>200</v>
      </c>
      <c r="D164" s="5">
        <f>2404049.99+24283.33+0.01+102245.6+0.01</f>
        <v>2530578.94</v>
      </c>
    </row>
    <row r="165" spans="1:4" ht="46.5" customHeight="1">
      <c r="A165" s="21" t="s">
        <v>238</v>
      </c>
      <c r="B165" s="19" t="s">
        <v>239</v>
      </c>
      <c r="C165" s="12"/>
      <c r="D165" s="14">
        <f>SUM(D166:D167)</f>
        <v>370000</v>
      </c>
    </row>
    <row r="166" spans="1:4" ht="84" customHeight="1">
      <c r="A166" s="11" t="s">
        <v>589</v>
      </c>
      <c r="B166" s="12" t="s">
        <v>590</v>
      </c>
      <c r="C166" s="12">
        <v>500</v>
      </c>
      <c r="D166" s="5">
        <v>250000</v>
      </c>
    </row>
    <row r="167" spans="1:4" ht="52.5" customHeight="1">
      <c r="A167" s="11" t="s">
        <v>240</v>
      </c>
      <c r="B167" s="12" t="s">
        <v>241</v>
      </c>
      <c r="C167" s="12">
        <v>200</v>
      </c>
      <c r="D167" s="5">
        <v>120000</v>
      </c>
    </row>
    <row r="168" spans="1:4" s="4" customFormat="1" ht="48" customHeight="1">
      <c r="A168" s="21" t="s">
        <v>319</v>
      </c>
      <c r="B168" s="19" t="s">
        <v>242</v>
      </c>
      <c r="C168" s="12"/>
      <c r="D168" s="14">
        <f t="shared" ref="D168" si="16">D169</f>
        <v>78100.900000000009</v>
      </c>
    </row>
    <row r="169" spans="1:4" s="3" customFormat="1" ht="69.75" customHeight="1">
      <c r="A169" s="11" t="s">
        <v>320</v>
      </c>
      <c r="B169" s="12" t="s">
        <v>243</v>
      </c>
      <c r="C169" s="12">
        <v>200</v>
      </c>
      <c r="D169" s="5">
        <f>80000-1943.4+44.3</f>
        <v>78100.900000000009</v>
      </c>
    </row>
    <row r="170" spans="1:4" s="3" customFormat="1" ht="54.75" customHeight="1">
      <c r="A170" s="21" t="s">
        <v>345</v>
      </c>
      <c r="B170" s="19" t="s">
        <v>343</v>
      </c>
      <c r="C170" s="19"/>
      <c r="D170" s="14">
        <f t="shared" ref="D170" si="17">SUM(D171:D173)</f>
        <v>903380.23</v>
      </c>
    </row>
    <row r="171" spans="1:4" s="3" customFormat="1" ht="72.75" customHeight="1">
      <c r="A171" s="11" t="s">
        <v>346</v>
      </c>
      <c r="B171" s="12" t="s">
        <v>344</v>
      </c>
      <c r="C171" s="12">
        <v>200</v>
      </c>
      <c r="D171" s="5">
        <f>402341.38-84984.46-44.3</f>
        <v>317312.62</v>
      </c>
    </row>
    <row r="172" spans="1:4" s="3" customFormat="1" ht="76.5" customHeight="1">
      <c r="A172" s="11" t="s">
        <v>520</v>
      </c>
      <c r="B172" s="12" t="s">
        <v>519</v>
      </c>
      <c r="C172" s="12">
        <v>200</v>
      </c>
      <c r="D172" s="5">
        <v>130000</v>
      </c>
    </row>
    <row r="173" spans="1:4" s="3" customFormat="1" ht="191.25" customHeight="1">
      <c r="A173" s="11" t="s">
        <v>482</v>
      </c>
      <c r="B173" s="12" t="s">
        <v>481</v>
      </c>
      <c r="C173" s="12">
        <v>800</v>
      </c>
      <c r="D173" s="5">
        <v>456067.61</v>
      </c>
    </row>
    <row r="174" spans="1:4" s="3" customFormat="1" ht="75" customHeight="1">
      <c r="A174" s="23" t="s">
        <v>244</v>
      </c>
      <c r="B174" s="17" t="s">
        <v>245</v>
      </c>
      <c r="C174" s="12"/>
      <c r="D174" s="13">
        <f t="shared" ref="D174" si="18">D175+D179+D181</f>
        <v>932000</v>
      </c>
    </row>
    <row r="175" spans="1:4" ht="98.25" customHeight="1">
      <c r="A175" s="21" t="s">
        <v>246</v>
      </c>
      <c r="B175" s="19" t="s">
        <v>247</v>
      </c>
      <c r="C175" s="12"/>
      <c r="D175" s="14">
        <f t="shared" ref="D175" si="19">SUM(D176:D178)</f>
        <v>434000</v>
      </c>
    </row>
    <row r="176" spans="1:4" s="4" customFormat="1" ht="77.25" customHeight="1">
      <c r="A176" s="11" t="s">
        <v>248</v>
      </c>
      <c r="B176" s="12" t="s">
        <v>249</v>
      </c>
      <c r="C176" s="12">
        <v>200</v>
      </c>
      <c r="D176" s="5">
        <v>30000</v>
      </c>
    </row>
    <row r="177" spans="1:4" s="4" customFormat="1" ht="137.25" customHeight="1">
      <c r="A177" s="11" t="s">
        <v>250</v>
      </c>
      <c r="B177" s="12" t="s">
        <v>251</v>
      </c>
      <c r="C177" s="12">
        <v>200</v>
      </c>
      <c r="D177" s="5">
        <v>4000</v>
      </c>
    </row>
    <row r="178" spans="1:4" s="4" customFormat="1" ht="78" customHeight="1">
      <c r="A178" s="11" t="s">
        <v>379</v>
      </c>
      <c r="B178" s="12" t="s">
        <v>380</v>
      </c>
      <c r="C178" s="12">
        <v>200</v>
      </c>
      <c r="D178" s="5">
        <f>300000+100000</f>
        <v>400000</v>
      </c>
    </row>
    <row r="179" spans="1:4" ht="32.25" customHeight="1">
      <c r="A179" s="24" t="s">
        <v>252</v>
      </c>
      <c r="B179" s="19" t="s">
        <v>253</v>
      </c>
      <c r="C179" s="12"/>
      <c r="D179" s="14">
        <f t="shared" ref="D179" si="20">D180</f>
        <v>480000</v>
      </c>
    </row>
    <row r="180" spans="1:4" ht="48.75" customHeight="1">
      <c r="A180" s="11" t="s">
        <v>254</v>
      </c>
      <c r="B180" s="12" t="s">
        <v>255</v>
      </c>
      <c r="C180" s="12">
        <v>800</v>
      </c>
      <c r="D180" s="5">
        <f>500000-20000</f>
        <v>480000</v>
      </c>
    </row>
    <row r="181" spans="1:4" ht="112.5" customHeight="1">
      <c r="A181" s="21" t="s">
        <v>485</v>
      </c>
      <c r="B181" s="19" t="s">
        <v>483</v>
      </c>
      <c r="C181" s="19"/>
      <c r="D181" s="14">
        <f t="shared" ref="D181" si="21">D182</f>
        <v>18000</v>
      </c>
    </row>
    <row r="182" spans="1:4" ht="97.5" customHeight="1">
      <c r="A182" s="11" t="s">
        <v>486</v>
      </c>
      <c r="B182" s="12" t="s">
        <v>484</v>
      </c>
      <c r="C182" s="12">
        <v>200</v>
      </c>
      <c r="D182" s="5">
        <v>18000</v>
      </c>
    </row>
    <row r="183" spans="1:4" ht="57" customHeight="1">
      <c r="A183" s="25" t="s">
        <v>256</v>
      </c>
      <c r="B183" s="17" t="s">
        <v>257</v>
      </c>
      <c r="C183" s="12"/>
      <c r="D183" s="13">
        <f t="shared" ref="D183" si="22">D184</f>
        <v>1815357.56</v>
      </c>
    </row>
    <row r="184" spans="1:4" ht="51.75" customHeight="1">
      <c r="A184" s="21" t="s">
        <v>258</v>
      </c>
      <c r="B184" s="19" t="s">
        <v>259</v>
      </c>
      <c r="C184" s="12"/>
      <c r="D184" s="14">
        <f>SUM(D185:D186)</f>
        <v>1815357.56</v>
      </c>
    </row>
    <row r="185" spans="1:4" ht="99.75" customHeight="1">
      <c r="A185" s="11" t="s">
        <v>601</v>
      </c>
      <c r="B185" s="12" t="s">
        <v>600</v>
      </c>
      <c r="C185" s="12">
        <v>500</v>
      </c>
      <c r="D185" s="5">
        <v>618553.61</v>
      </c>
    </row>
    <row r="186" spans="1:4" s="3" customFormat="1" ht="91.5" customHeight="1">
      <c r="A186" s="11" t="s">
        <v>338</v>
      </c>
      <c r="B186" s="12" t="s">
        <v>260</v>
      </c>
      <c r="C186" s="12">
        <v>200</v>
      </c>
      <c r="D186" s="5">
        <f>500000+6376.82+690427.13</f>
        <v>1196803.95</v>
      </c>
    </row>
    <row r="187" spans="1:4" s="3" customFormat="1" ht="71.25" customHeight="1">
      <c r="A187" s="23" t="s">
        <v>372</v>
      </c>
      <c r="B187" s="17" t="s">
        <v>367</v>
      </c>
      <c r="C187" s="17"/>
      <c r="D187" s="13">
        <f t="shared" ref="D187" si="23">D188</f>
        <v>7068848.7599999998</v>
      </c>
    </row>
    <row r="188" spans="1:4" s="3" customFormat="1" ht="69" customHeight="1">
      <c r="A188" s="21" t="s">
        <v>373</v>
      </c>
      <c r="B188" s="19" t="s">
        <v>368</v>
      </c>
      <c r="C188" s="19"/>
      <c r="D188" s="14">
        <f>SUM(D189:D191)</f>
        <v>7068848.7599999998</v>
      </c>
    </row>
    <row r="189" spans="1:4" s="3" customFormat="1" ht="69" customHeight="1">
      <c r="A189" s="11" t="s">
        <v>673</v>
      </c>
      <c r="B189" s="12" t="s">
        <v>672</v>
      </c>
      <c r="C189" s="12">
        <v>800</v>
      </c>
      <c r="D189" s="5">
        <v>14950</v>
      </c>
    </row>
    <row r="190" spans="1:4" s="3" customFormat="1" ht="86.25" customHeight="1">
      <c r="A190" s="11" t="s">
        <v>374</v>
      </c>
      <c r="B190" s="12" t="s">
        <v>640</v>
      </c>
      <c r="C190" s="12">
        <v>400</v>
      </c>
      <c r="D190" s="5">
        <v>3946058.09</v>
      </c>
    </row>
    <row r="191" spans="1:4" s="3" customFormat="1" ht="94.5" customHeight="1">
      <c r="A191" s="11" t="s">
        <v>374</v>
      </c>
      <c r="B191" s="12" t="s">
        <v>369</v>
      </c>
      <c r="C191" s="12">
        <v>400</v>
      </c>
      <c r="D191" s="5">
        <f>2383821+4670077.76-3946058.09</f>
        <v>3107840.67</v>
      </c>
    </row>
    <row r="192" spans="1:4" ht="57" customHeight="1">
      <c r="A192" s="16" t="s">
        <v>198</v>
      </c>
      <c r="B192" s="17" t="s">
        <v>49</v>
      </c>
      <c r="C192" s="17"/>
      <c r="D192" s="13">
        <f>D193+D201+D204+D208+D211+D214+D218+D215</f>
        <v>36070272.75</v>
      </c>
    </row>
    <row r="193" spans="1:4" ht="54.75" customHeight="1">
      <c r="A193" s="16" t="s">
        <v>199</v>
      </c>
      <c r="B193" s="17" t="s">
        <v>50</v>
      </c>
      <c r="C193" s="17"/>
      <c r="D193" s="13">
        <f>D194</f>
        <v>27365770.389999997</v>
      </c>
    </row>
    <row r="194" spans="1:4" s="4" customFormat="1" ht="32.25" customHeight="1">
      <c r="A194" s="18" t="s">
        <v>52</v>
      </c>
      <c r="B194" s="19" t="s">
        <v>51</v>
      </c>
      <c r="C194" s="19"/>
      <c r="D194" s="14">
        <f>SUM(D195:D200)</f>
        <v>27365770.389999997</v>
      </c>
    </row>
    <row r="195" spans="1:4" s="3" customFormat="1" ht="111.75" customHeight="1">
      <c r="A195" s="20" t="s">
        <v>137</v>
      </c>
      <c r="B195" s="12" t="s">
        <v>53</v>
      </c>
      <c r="C195" s="12">
        <v>100</v>
      </c>
      <c r="D195" s="5">
        <f>13898826.54+7031166.31+18645.85+1080967.56</f>
        <v>22029606.259999998</v>
      </c>
    </row>
    <row r="196" spans="1:4" ht="75" customHeight="1">
      <c r="A196" s="20" t="s">
        <v>153</v>
      </c>
      <c r="B196" s="12" t="s">
        <v>53</v>
      </c>
      <c r="C196" s="12">
        <v>200</v>
      </c>
      <c r="D196" s="5">
        <f>2526304.79-11000+40.38+72295.77+13896.56+162307.25+124790</f>
        <v>2888634.75</v>
      </c>
    </row>
    <row r="197" spans="1:4" s="3" customFormat="1" ht="57.75" customHeight="1">
      <c r="A197" s="20" t="s">
        <v>150</v>
      </c>
      <c r="B197" s="12" t="s">
        <v>53</v>
      </c>
      <c r="C197" s="12">
        <v>800</v>
      </c>
      <c r="D197" s="5">
        <f>2600+11000</f>
        <v>13600</v>
      </c>
    </row>
    <row r="198" spans="1:4" ht="116.25" customHeight="1">
      <c r="A198" s="20" t="s">
        <v>138</v>
      </c>
      <c r="B198" s="12" t="s">
        <v>54</v>
      </c>
      <c r="C198" s="12">
        <v>100</v>
      </c>
      <c r="D198" s="5">
        <f>582431.47+94829.91</f>
        <v>677261.38</v>
      </c>
    </row>
    <row r="199" spans="1:4" ht="78" customHeight="1">
      <c r="A199" s="20" t="s">
        <v>154</v>
      </c>
      <c r="B199" s="12" t="s">
        <v>54</v>
      </c>
      <c r="C199" s="12">
        <v>200</v>
      </c>
      <c r="D199" s="5">
        <f>356668+1200000</f>
        <v>1556668</v>
      </c>
    </row>
    <row r="200" spans="1:4" ht="84.75" customHeight="1">
      <c r="A200" s="20" t="s">
        <v>522</v>
      </c>
      <c r="B200" s="12" t="s">
        <v>521</v>
      </c>
      <c r="C200" s="12">
        <v>200</v>
      </c>
      <c r="D200" s="5">
        <v>200000</v>
      </c>
    </row>
    <row r="201" spans="1:4" ht="50.25" customHeight="1">
      <c r="A201" s="16" t="s">
        <v>56</v>
      </c>
      <c r="B201" s="17" t="s">
        <v>55</v>
      </c>
      <c r="C201" s="17"/>
      <c r="D201" s="13">
        <f>D202</f>
        <v>7441463.4199999999</v>
      </c>
    </row>
    <row r="202" spans="1:4" s="4" customFormat="1" ht="51.75" customHeight="1">
      <c r="A202" s="18" t="s">
        <v>58</v>
      </c>
      <c r="B202" s="19" t="s">
        <v>57</v>
      </c>
      <c r="C202" s="19"/>
      <c r="D202" s="14">
        <f t="shared" ref="D202" si="24">D203</f>
        <v>7441463.4199999999</v>
      </c>
    </row>
    <row r="203" spans="1:4" s="3" customFormat="1" ht="72" customHeight="1">
      <c r="A203" s="20" t="s">
        <v>148</v>
      </c>
      <c r="B203" s="12" t="s">
        <v>59</v>
      </c>
      <c r="C203" s="12">
        <v>600</v>
      </c>
      <c r="D203" s="5">
        <f>5310668.92+2030360.75+12834.33+62937.37+24662.05</f>
        <v>7441463.4199999999</v>
      </c>
    </row>
    <row r="204" spans="1:4" ht="48" customHeight="1">
      <c r="A204" s="16" t="s">
        <v>362</v>
      </c>
      <c r="B204" s="17" t="s">
        <v>60</v>
      </c>
      <c r="C204" s="17"/>
      <c r="D204" s="13">
        <f t="shared" ref="D204" si="25">D205</f>
        <v>283459.99</v>
      </c>
    </row>
    <row r="205" spans="1:4" s="4" customFormat="1" ht="39" customHeight="1">
      <c r="A205" s="18" t="s">
        <v>62</v>
      </c>
      <c r="B205" s="19" t="s">
        <v>61</v>
      </c>
      <c r="C205" s="19"/>
      <c r="D205" s="14">
        <f t="shared" ref="D205" si="26">SUM(D206:D207)</f>
        <v>283459.99</v>
      </c>
    </row>
    <row r="206" spans="1:4" s="3" customFormat="1" ht="104.25" customHeight="1">
      <c r="A206" s="20" t="s">
        <v>375</v>
      </c>
      <c r="B206" s="12" t="s">
        <v>63</v>
      </c>
      <c r="C206" s="12">
        <v>200</v>
      </c>
      <c r="D206" s="5">
        <v>220000</v>
      </c>
    </row>
    <row r="207" spans="1:4" s="3" customFormat="1" ht="93.75">
      <c r="A207" s="20" t="s">
        <v>513</v>
      </c>
      <c r="B207" s="12" t="s">
        <v>512</v>
      </c>
      <c r="C207" s="12">
        <v>200</v>
      </c>
      <c r="D207" s="5">
        <f>80033+808.41-3998-40.38-15748.01-159.07+2564.04</f>
        <v>63459.99</v>
      </c>
    </row>
    <row r="208" spans="1:4" ht="47.25" customHeight="1">
      <c r="A208" s="16" t="s">
        <v>169</v>
      </c>
      <c r="B208" s="17" t="s">
        <v>64</v>
      </c>
      <c r="C208" s="17"/>
      <c r="D208" s="13">
        <f t="shared" ref="D208" si="27">D209</f>
        <v>50000</v>
      </c>
    </row>
    <row r="209" spans="1:4" ht="32.25" customHeight="1">
      <c r="A209" s="18" t="s">
        <v>200</v>
      </c>
      <c r="B209" s="19" t="s">
        <v>65</v>
      </c>
      <c r="C209" s="19"/>
      <c r="D209" s="14">
        <f t="shared" ref="D209" si="28">SUM(D210:D210)</f>
        <v>50000</v>
      </c>
    </row>
    <row r="210" spans="1:4" ht="55.5" customHeight="1">
      <c r="A210" s="20" t="s">
        <v>170</v>
      </c>
      <c r="B210" s="12" t="s">
        <v>66</v>
      </c>
      <c r="C210" s="12">
        <v>200</v>
      </c>
      <c r="D210" s="5">
        <v>50000</v>
      </c>
    </row>
    <row r="211" spans="1:4" s="3" customFormat="1" ht="74.25" customHeight="1">
      <c r="A211" s="16" t="s">
        <v>340</v>
      </c>
      <c r="B211" s="17" t="s">
        <v>67</v>
      </c>
      <c r="C211" s="17"/>
      <c r="D211" s="13">
        <f t="shared" ref="D211:D212" si="29">D212</f>
        <v>50000</v>
      </c>
    </row>
    <row r="212" spans="1:4" ht="65.25" customHeight="1">
      <c r="A212" s="18" t="s">
        <v>69</v>
      </c>
      <c r="B212" s="19" t="s">
        <v>68</v>
      </c>
      <c r="C212" s="19"/>
      <c r="D212" s="14">
        <f t="shared" si="29"/>
        <v>50000</v>
      </c>
    </row>
    <row r="213" spans="1:4" s="4" customFormat="1" ht="57.75" customHeight="1">
      <c r="A213" s="20" t="s">
        <v>155</v>
      </c>
      <c r="B213" s="12" t="s">
        <v>70</v>
      </c>
      <c r="C213" s="12">
        <v>200</v>
      </c>
      <c r="D213" s="5">
        <v>50000</v>
      </c>
    </row>
    <row r="214" spans="1:4" s="3" customFormat="1" ht="68.25" hidden="1" customHeight="1">
      <c r="A214" s="16" t="s">
        <v>405</v>
      </c>
      <c r="B214" s="17" t="s">
        <v>71</v>
      </c>
      <c r="C214" s="17"/>
      <c r="D214" s="14"/>
    </row>
    <row r="215" spans="1:4" s="3" customFormat="1" ht="68.25" customHeight="1">
      <c r="A215" s="16" t="s">
        <v>624</v>
      </c>
      <c r="B215" s="17" t="s">
        <v>71</v>
      </c>
      <c r="C215" s="17"/>
      <c r="D215" s="13">
        <f>D216</f>
        <v>631578.94999999995</v>
      </c>
    </row>
    <row r="216" spans="1:4" s="3" customFormat="1" ht="57.75" customHeight="1">
      <c r="A216" s="18" t="s">
        <v>625</v>
      </c>
      <c r="B216" s="19" t="s">
        <v>626</v>
      </c>
      <c r="C216" s="17"/>
      <c r="D216" s="14">
        <f>D217</f>
        <v>631578.94999999995</v>
      </c>
    </row>
    <row r="217" spans="1:4" s="3" customFormat="1" ht="68.25" customHeight="1">
      <c r="A217" s="20" t="s">
        <v>627</v>
      </c>
      <c r="B217" s="12" t="s">
        <v>628</v>
      </c>
      <c r="C217" s="12">
        <v>200</v>
      </c>
      <c r="D217" s="5">
        <f>600000+6060.61+25518.34</f>
        <v>631578.94999999995</v>
      </c>
    </row>
    <row r="218" spans="1:4" s="3" customFormat="1" ht="60" customHeight="1">
      <c r="A218" s="23" t="s">
        <v>365</v>
      </c>
      <c r="B218" s="17" t="s">
        <v>261</v>
      </c>
      <c r="C218" s="12"/>
      <c r="D218" s="13">
        <f>D219+D221</f>
        <v>248000</v>
      </c>
    </row>
    <row r="219" spans="1:4" ht="48" customHeight="1">
      <c r="A219" s="21" t="s">
        <v>262</v>
      </c>
      <c r="B219" s="19" t="s">
        <v>263</v>
      </c>
      <c r="C219" s="12"/>
      <c r="D219" s="14">
        <f>D220</f>
        <v>242000</v>
      </c>
    </row>
    <row r="220" spans="1:4" ht="72.75" customHeight="1">
      <c r="A220" s="11" t="s">
        <v>423</v>
      </c>
      <c r="B220" s="12" t="s">
        <v>264</v>
      </c>
      <c r="C220" s="12">
        <v>200</v>
      </c>
      <c r="D220" s="5">
        <v>242000</v>
      </c>
    </row>
    <row r="221" spans="1:4" s="4" customFormat="1" ht="47.25" customHeight="1">
      <c r="A221" s="21" t="s">
        <v>265</v>
      </c>
      <c r="B221" s="19" t="s">
        <v>266</v>
      </c>
      <c r="C221" s="19"/>
      <c r="D221" s="14">
        <f>D222</f>
        <v>6000</v>
      </c>
    </row>
    <row r="222" spans="1:4" s="4" customFormat="1" ht="70.5" customHeight="1">
      <c r="A222" s="11" t="s">
        <v>523</v>
      </c>
      <c r="B222" s="12" t="s">
        <v>524</v>
      </c>
      <c r="C222" s="12">
        <v>600</v>
      </c>
      <c r="D222" s="5">
        <v>6000</v>
      </c>
    </row>
    <row r="223" spans="1:4" ht="84" customHeight="1">
      <c r="A223" s="16" t="s">
        <v>267</v>
      </c>
      <c r="B223" s="17" t="s">
        <v>72</v>
      </c>
      <c r="C223" s="17"/>
      <c r="D223" s="13">
        <f>D224+D230+D238</f>
        <v>3847173.2099999995</v>
      </c>
    </row>
    <row r="224" spans="1:4" ht="49.5" customHeight="1">
      <c r="A224" s="16" t="s">
        <v>201</v>
      </c>
      <c r="B224" s="17" t="s">
        <v>73</v>
      </c>
      <c r="C224" s="17"/>
      <c r="D224" s="13">
        <f t="shared" ref="D224" si="30">D225</f>
        <v>137900</v>
      </c>
    </row>
    <row r="225" spans="1:4" s="4" customFormat="1" ht="66.75" customHeight="1">
      <c r="A225" s="21" t="s">
        <v>268</v>
      </c>
      <c r="B225" s="19" t="s">
        <v>269</v>
      </c>
      <c r="C225" s="19"/>
      <c r="D225" s="14">
        <f>SUM(D226:D229)</f>
        <v>137900</v>
      </c>
    </row>
    <row r="226" spans="1:4" s="3" customFormat="1" ht="82.5" customHeight="1">
      <c r="A226" s="20" t="s">
        <v>547</v>
      </c>
      <c r="B226" s="12" t="s">
        <v>270</v>
      </c>
      <c r="C226" s="12">
        <v>600</v>
      </c>
      <c r="D226" s="5">
        <v>18800</v>
      </c>
    </row>
    <row r="227" spans="1:4" ht="96" customHeight="1">
      <c r="A227" s="20" t="s">
        <v>156</v>
      </c>
      <c r="B227" s="12" t="s">
        <v>271</v>
      </c>
      <c r="C227" s="12">
        <v>200</v>
      </c>
      <c r="D227" s="5">
        <v>4300</v>
      </c>
    </row>
    <row r="228" spans="1:4" ht="79.5" customHeight="1">
      <c r="A228" s="20" t="s">
        <v>202</v>
      </c>
      <c r="B228" s="12" t="s">
        <v>272</v>
      </c>
      <c r="C228" s="12">
        <v>200</v>
      </c>
      <c r="D228" s="5">
        <v>104800</v>
      </c>
    </row>
    <row r="229" spans="1:4" ht="74.25" customHeight="1">
      <c r="A229" s="20" t="s">
        <v>488</v>
      </c>
      <c r="B229" s="12" t="s">
        <v>487</v>
      </c>
      <c r="C229" s="12">
        <v>200</v>
      </c>
      <c r="D229" s="5">
        <v>10000</v>
      </c>
    </row>
    <row r="230" spans="1:4" s="4" customFormat="1" ht="37.5">
      <c r="A230" s="16" t="s">
        <v>203</v>
      </c>
      <c r="B230" s="17" t="s">
        <v>74</v>
      </c>
      <c r="C230" s="17"/>
      <c r="D230" s="13">
        <f t="shared" ref="D230" si="31">D231</f>
        <v>3576273.2099999995</v>
      </c>
    </row>
    <row r="231" spans="1:4" s="3" customFormat="1" ht="53.25" customHeight="1">
      <c r="A231" s="21" t="s">
        <v>273</v>
      </c>
      <c r="B231" s="19" t="s">
        <v>274</v>
      </c>
      <c r="C231" s="19"/>
      <c r="D231" s="14">
        <f t="shared" ref="D231" si="32">SUM(D232:D237)</f>
        <v>3576273.2099999995</v>
      </c>
    </row>
    <row r="232" spans="1:4" ht="56.25">
      <c r="A232" s="20" t="s">
        <v>328</v>
      </c>
      <c r="B232" s="12" t="s">
        <v>275</v>
      </c>
      <c r="C232" s="12">
        <v>200</v>
      </c>
      <c r="D232" s="5">
        <f>300000+115205.46-115205.46</f>
        <v>300000</v>
      </c>
    </row>
    <row r="233" spans="1:4" ht="37.5">
      <c r="A233" s="20" t="s">
        <v>424</v>
      </c>
      <c r="B233" s="12" t="s">
        <v>275</v>
      </c>
      <c r="C233" s="12">
        <v>800</v>
      </c>
      <c r="D233" s="5">
        <v>50000</v>
      </c>
    </row>
    <row r="234" spans="1:4" ht="75">
      <c r="A234" s="11" t="s">
        <v>339</v>
      </c>
      <c r="B234" s="12" t="s">
        <v>329</v>
      </c>
      <c r="C234" s="12">
        <v>600</v>
      </c>
      <c r="D234" s="5">
        <v>190700</v>
      </c>
    </row>
    <row r="235" spans="1:4" ht="93.75">
      <c r="A235" s="11" t="s">
        <v>440</v>
      </c>
      <c r="B235" s="12" t="s">
        <v>439</v>
      </c>
      <c r="C235" s="12">
        <v>100</v>
      </c>
      <c r="D235" s="5">
        <f>2530728.51-115205.46+152334+33804.82+80051.46</f>
        <v>2681713.3299999996</v>
      </c>
    </row>
    <row r="236" spans="1:4" ht="56.25">
      <c r="A236" s="11" t="s">
        <v>489</v>
      </c>
      <c r="B236" s="12" t="s">
        <v>439</v>
      </c>
      <c r="C236" s="12">
        <v>200</v>
      </c>
      <c r="D236" s="5">
        <f>297812.55+2547.33+52000</f>
        <v>352359.88</v>
      </c>
    </row>
    <row r="237" spans="1:4" ht="37.5">
      <c r="A237" s="11" t="s">
        <v>490</v>
      </c>
      <c r="B237" s="12" t="s">
        <v>439</v>
      </c>
      <c r="C237" s="12">
        <v>800</v>
      </c>
      <c r="D237" s="5">
        <v>1500</v>
      </c>
    </row>
    <row r="238" spans="1:4" s="3" customFormat="1" ht="58.5" customHeight="1">
      <c r="A238" s="23" t="s">
        <v>276</v>
      </c>
      <c r="B238" s="17" t="s">
        <v>277</v>
      </c>
      <c r="C238" s="12"/>
      <c r="D238" s="13">
        <f>D239+D244</f>
        <v>133000</v>
      </c>
    </row>
    <row r="239" spans="1:4" ht="48.75" customHeight="1">
      <c r="A239" s="21" t="s">
        <v>278</v>
      </c>
      <c r="B239" s="19" t="s">
        <v>279</v>
      </c>
      <c r="C239" s="12"/>
      <c r="D239" s="14">
        <f>SUM(D240:D243)</f>
        <v>93000</v>
      </c>
    </row>
    <row r="240" spans="1:4" s="3" customFormat="1" ht="57.75" customHeight="1">
      <c r="A240" s="11" t="s">
        <v>280</v>
      </c>
      <c r="B240" s="12" t="s">
        <v>281</v>
      </c>
      <c r="C240" s="12">
        <v>200</v>
      </c>
      <c r="D240" s="5">
        <v>10000</v>
      </c>
    </row>
    <row r="241" spans="1:4" ht="51" customHeight="1">
      <c r="A241" s="11" t="s">
        <v>157</v>
      </c>
      <c r="B241" s="12" t="s">
        <v>282</v>
      </c>
      <c r="C241" s="12">
        <v>200</v>
      </c>
      <c r="D241" s="5">
        <v>10000</v>
      </c>
    </row>
    <row r="242" spans="1:4" ht="54.75" customHeight="1">
      <c r="A242" s="11" t="s">
        <v>283</v>
      </c>
      <c r="B242" s="12" t="s">
        <v>284</v>
      </c>
      <c r="C242" s="12">
        <v>200</v>
      </c>
      <c r="D242" s="5">
        <v>29000</v>
      </c>
    </row>
    <row r="243" spans="1:4" ht="91.5" customHeight="1">
      <c r="A243" s="11" t="s">
        <v>425</v>
      </c>
      <c r="B243" s="12" t="s">
        <v>285</v>
      </c>
      <c r="C243" s="12">
        <v>600</v>
      </c>
      <c r="D243" s="5">
        <v>44000</v>
      </c>
    </row>
    <row r="244" spans="1:4" ht="56.25" customHeight="1">
      <c r="A244" s="21" t="s">
        <v>706</v>
      </c>
      <c r="B244" s="19" t="s">
        <v>707</v>
      </c>
      <c r="C244" s="19"/>
      <c r="D244" s="14">
        <f>D245</f>
        <v>40000</v>
      </c>
    </row>
    <row r="245" spans="1:4" ht="91.5" customHeight="1">
      <c r="A245" s="11" t="s">
        <v>709</v>
      </c>
      <c r="B245" s="12" t="s">
        <v>708</v>
      </c>
      <c r="C245" s="12">
        <v>200</v>
      </c>
      <c r="D245" s="5">
        <v>40000</v>
      </c>
    </row>
    <row r="246" spans="1:4" s="4" customFormat="1" ht="51.75" customHeight="1">
      <c r="A246" s="16" t="s">
        <v>204</v>
      </c>
      <c r="B246" s="17" t="s">
        <v>75</v>
      </c>
      <c r="C246" s="17"/>
      <c r="D246" s="13">
        <f>D247+D253+D260+D264+D268</f>
        <v>1661613.5</v>
      </c>
    </row>
    <row r="247" spans="1:4" s="3" customFormat="1" ht="49.5" customHeight="1">
      <c r="A247" s="16" t="s">
        <v>205</v>
      </c>
      <c r="B247" s="17" t="s">
        <v>76</v>
      </c>
      <c r="C247" s="17"/>
      <c r="D247" s="13">
        <f t="shared" ref="D247" si="33">D248</f>
        <v>135000</v>
      </c>
    </row>
    <row r="248" spans="1:4" ht="49.5" customHeight="1">
      <c r="A248" s="18" t="s">
        <v>206</v>
      </c>
      <c r="B248" s="19" t="s">
        <v>77</v>
      </c>
      <c r="C248" s="19"/>
      <c r="D248" s="14">
        <f t="shared" ref="D248" si="34">SUM(D249:D252)</f>
        <v>135000</v>
      </c>
    </row>
    <row r="249" spans="1:4" s="4" customFormat="1" ht="87.75" customHeight="1">
      <c r="A249" s="11" t="s">
        <v>286</v>
      </c>
      <c r="B249" s="12" t="s">
        <v>78</v>
      </c>
      <c r="C249" s="12">
        <v>800</v>
      </c>
      <c r="D249" s="5">
        <v>45000</v>
      </c>
    </row>
    <row r="250" spans="1:4" s="4" customFormat="1" ht="86.25" customHeight="1">
      <c r="A250" s="11" t="s">
        <v>287</v>
      </c>
      <c r="B250" s="12" t="s">
        <v>79</v>
      </c>
      <c r="C250" s="12">
        <v>800</v>
      </c>
      <c r="D250" s="5">
        <v>45000</v>
      </c>
    </row>
    <row r="251" spans="1:4" s="3" customFormat="1" ht="72.75" customHeight="1">
      <c r="A251" s="11" t="s">
        <v>288</v>
      </c>
      <c r="B251" s="12" t="s">
        <v>289</v>
      </c>
      <c r="C251" s="12">
        <v>800</v>
      </c>
      <c r="D251" s="5">
        <v>20000</v>
      </c>
    </row>
    <row r="252" spans="1:4" ht="67.5" customHeight="1">
      <c r="A252" s="11" t="s">
        <v>290</v>
      </c>
      <c r="B252" s="12" t="s">
        <v>291</v>
      </c>
      <c r="C252" s="12">
        <v>800</v>
      </c>
      <c r="D252" s="5">
        <v>25000</v>
      </c>
    </row>
    <row r="253" spans="1:4" ht="56.25">
      <c r="A253" s="16" t="s">
        <v>207</v>
      </c>
      <c r="B253" s="17" t="s">
        <v>80</v>
      </c>
      <c r="C253" s="17"/>
      <c r="D253" s="13">
        <f t="shared" ref="D253" si="35">D254</f>
        <v>570613.5</v>
      </c>
    </row>
    <row r="254" spans="1:4" s="3" customFormat="1" ht="52.5" customHeight="1">
      <c r="A254" s="18" t="s">
        <v>208</v>
      </c>
      <c r="B254" s="19" t="s">
        <v>81</v>
      </c>
      <c r="C254" s="19"/>
      <c r="D254" s="14">
        <f>SUM(D255:D259)</f>
        <v>570613.5</v>
      </c>
    </row>
    <row r="255" spans="1:4" s="4" customFormat="1" ht="93" customHeight="1">
      <c r="A255" s="11" t="s">
        <v>401</v>
      </c>
      <c r="B255" s="12" t="s">
        <v>381</v>
      </c>
      <c r="C255" s="12">
        <v>200</v>
      </c>
      <c r="D255" s="5">
        <v>60000</v>
      </c>
    </row>
    <row r="256" spans="1:4" s="4" customFormat="1" ht="89.25" customHeight="1">
      <c r="A256" s="11" t="s">
        <v>383</v>
      </c>
      <c r="B256" s="12" t="s">
        <v>382</v>
      </c>
      <c r="C256" s="12">
        <v>200</v>
      </c>
      <c r="D256" s="5">
        <f>210000+520.91</f>
        <v>210520.91</v>
      </c>
    </row>
    <row r="257" spans="1:4" s="4" customFormat="1" ht="63.75" customHeight="1">
      <c r="A257" s="11" t="s">
        <v>492</v>
      </c>
      <c r="B257" s="12" t="s">
        <v>491</v>
      </c>
      <c r="C257" s="12">
        <v>200</v>
      </c>
      <c r="D257" s="5">
        <v>100000</v>
      </c>
    </row>
    <row r="258" spans="1:4" s="4" customFormat="1" ht="101.25" customHeight="1">
      <c r="A258" s="11" t="s">
        <v>642</v>
      </c>
      <c r="B258" s="12" t="s">
        <v>641</v>
      </c>
      <c r="C258" s="12">
        <v>200</v>
      </c>
      <c r="D258" s="5">
        <v>25000</v>
      </c>
    </row>
    <row r="259" spans="1:4" s="4" customFormat="1" ht="85.5" customHeight="1">
      <c r="A259" s="11" t="s">
        <v>531</v>
      </c>
      <c r="B259" s="12" t="s">
        <v>530</v>
      </c>
      <c r="C259" s="12">
        <v>200</v>
      </c>
      <c r="D259" s="5">
        <f>174968.88+123.71+520.91-520.91</f>
        <v>175092.59</v>
      </c>
    </row>
    <row r="260" spans="1:4" s="3" customFormat="1" ht="67.5" customHeight="1">
      <c r="A260" s="16" t="s">
        <v>209</v>
      </c>
      <c r="B260" s="17" t="s">
        <v>82</v>
      </c>
      <c r="C260" s="17"/>
      <c r="D260" s="13">
        <f t="shared" ref="D260" si="36">D261</f>
        <v>254000</v>
      </c>
    </row>
    <row r="261" spans="1:4" ht="33.75" customHeight="1">
      <c r="A261" s="18" t="s">
        <v>210</v>
      </c>
      <c r="B261" s="19" t="s">
        <v>83</v>
      </c>
      <c r="C261" s="19"/>
      <c r="D261" s="14">
        <f t="shared" ref="D261" si="37">SUM(D262:D263)</f>
        <v>254000</v>
      </c>
    </row>
    <row r="262" spans="1:4" ht="118.5" customHeight="1">
      <c r="A262" s="20" t="s">
        <v>406</v>
      </c>
      <c r="B262" s="12" t="s">
        <v>292</v>
      </c>
      <c r="C262" s="12">
        <v>200</v>
      </c>
      <c r="D262" s="5">
        <v>154000</v>
      </c>
    </row>
    <row r="263" spans="1:4" ht="79.5" customHeight="1">
      <c r="A263" s="20" t="s">
        <v>493</v>
      </c>
      <c r="B263" s="12" t="s">
        <v>500</v>
      </c>
      <c r="C263" s="12">
        <v>200</v>
      </c>
      <c r="D263" s="5">
        <v>100000</v>
      </c>
    </row>
    <row r="264" spans="1:4" s="3" customFormat="1" ht="98.25" customHeight="1">
      <c r="A264" s="23" t="s">
        <v>411</v>
      </c>
      <c r="B264" s="17" t="s">
        <v>412</v>
      </c>
      <c r="C264" s="12"/>
      <c r="D264" s="13">
        <f t="shared" ref="D264" si="38">D265</f>
        <v>300000</v>
      </c>
    </row>
    <row r="265" spans="1:4" ht="102.75" customHeight="1">
      <c r="A265" s="21" t="s">
        <v>402</v>
      </c>
      <c r="B265" s="19" t="s">
        <v>413</v>
      </c>
      <c r="C265" s="12"/>
      <c r="D265" s="14">
        <f t="shared" ref="D265" si="39">SUM(D266:D267)</f>
        <v>300000</v>
      </c>
    </row>
    <row r="266" spans="1:4" ht="96.75" customHeight="1">
      <c r="A266" s="11" t="s">
        <v>384</v>
      </c>
      <c r="B266" s="12" t="s">
        <v>414</v>
      </c>
      <c r="C266" s="12">
        <v>200</v>
      </c>
      <c r="D266" s="5">
        <v>200000</v>
      </c>
    </row>
    <row r="267" spans="1:4" ht="75.75" customHeight="1">
      <c r="A267" s="11" t="s">
        <v>385</v>
      </c>
      <c r="B267" s="12" t="s">
        <v>415</v>
      </c>
      <c r="C267" s="12">
        <v>200</v>
      </c>
      <c r="D267" s="5">
        <v>100000</v>
      </c>
    </row>
    <row r="268" spans="1:4" ht="60" customHeight="1">
      <c r="A268" s="23" t="s">
        <v>643</v>
      </c>
      <c r="B268" s="17" t="s">
        <v>646</v>
      </c>
      <c r="C268" s="17"/>
      <c r="D268" s="13">
        <f>D269</f>
        <v>402000</v>
      </c>
    </row>
    <row r="269" spans="1:4" ht="54" customHeight="1">
      <c r="A269" s="21" t="s">
        <v>644</v>
      </c>
      <c r="B269" s="19" t="s">
        <v>647</v>
      </c>
      <c r="C269" s="19"/>
      <c r="D269" s="14">
        <f>D270</f>
        <v>402000</v>
      </c>
    </row>
    <row r="270" spans="1:4" ht="75.75" customHeight="1">
      <c r="A270" s="11" t="s">
        <v>645</v>
      </c>
      <c r="B270" s="12" t="s">
        <v>648</v>
      </c>
      <c r="C270" s="12">
        <v>200</v>
      </c>
      <c r="D270" s="5">
        <v>402000</v>
      </c>
    </row>
    <row r="271" spans="1:4" ht="83.25" customHeight="1">
      <c r="A271" s="16" t="s">
        <v>407</v>
      </c>
      <c r="B271" s="17" t="s">
        <v>84</v>
      </c>
      <c r="C271" s="17"/>
      <c r="D271" s="13">
        <f t="shared" ref="D271:D272" si="40">D272</f>
        <v>3000</v>
      </c>
    </row>
    <row r="272" spans="1:4" s="4" customFormat="1" ht="66.75" customHeight="1">
      <c r="A272" s="16" t="s">
        <v>211</v>
      </c>
      <c r="B272" s="17" t="s">
        <v>85</v>
      </c>
      <c r="C272" s="17"/>
      <c r="D272" s="13">
        <f t="shared" si="40"/>
        <v>3000</v>
      </c>
    </row>
    <row r="273" spans="1:4" s="4" customFormat="1" ht="65.25" customHeight="1">
      <c r="A273" s="18" t="s">
        <v>212</v>
      </c>
      <c r="B273" s="19" t="s">
        <v>86</v>
      </c>
      <c r="C273" s="19"/>
      <c r="D273" s="14">
        <f t="shared" ref="D273" si="41">SUM(D274:D274)</f>
        <v>3000</v>
      </c>
    </row>
    <row r="274" spans="1:4" s="3" customFormat="1" ht="96" customHeight="1">
      <c r="A274" s="20" t="s">
        <v>614</v>
      </c>
      <c r="B274" s="12" t="s">
        <v>87</v>
      </c>
      <c r="C274" s="12">
        <v>200</v>
      </c>
      <c r="D274" s="5">
        <v>3000</v>
      </c>
    </row>
    <row r="275" spans="1:4" ht="103.5" customHeight="1">
      <c r="A275" s="16" t="s">
        <v>89</v>
      </c>
      <c r="B275" s="17" t="s">
        <v>88</v>
      </c>
      <c r="C275" s="17"/>
      <c r="D275" s="13">
        <f>D276+D284</f>
        <v>234800</v>
      </c>
    </row>
    <row r="276" spans="1:4" ht="75.75" customHeight="1">
      <c r="A276" s="16" t="s">
        <v>160</v>
      </c>
      <c r="B276" s="17" t="s">
        <v>90</v>
      </c>
      <c r="C276" s="17"/>
      <c r="D276" s="13">
        <f>D277+D280</f>
        <v>80000</v>
      </c>
    </row>
    <row r="277" spans="1:4" ht="61.5" customHeight="1">
      <c r="A277" s="18" t="s">
        <v>92</v>
      </c>
      <c r="B277" s="19" t="s">
        <v>91</v>
      </c>
      <c r="C277" s="19"/>
      <c r="D277" s="14">
        <f>SUM(D278:D279)</f>
        <v>20000</v>
      </c>
    </row>
    <row r="278" spans="1:4" s="4" customFormat="1" ht="79.5" customHeight="1">
      <c r="A278" s="20" t="s">
        <v>578</v>
      </c>
      <c r="B278" s="12" t="s">
        <v>93</v>
      </c>
      <c r="C278" s="12">
        <v>600</v>
      </c>
      <c r="D278" s="5">
        <v>10000</v>
      </c>
    </row>
    <row r="279" spans="1:4" s="4" customFormat="1" ht="75.75" customHeight="1">
      <c r="A279" s="20" t="s">
        <v>293</v>
      </c>
      <c r="B279" s="12" t="s">
        <v>94</v>
      </c>
      <c r="C279" s="12">
        <v>200</v>
      </c>
      <c r="D279" s="5">
        <v>10000</v>
      </c>
    </row>
    <row r="280" spans="1:4" ht="67.5" customHeight="1">
      <c r="A280" s="18" t="s">
        <v>96</v>
      </c>
      <c r="B280" s="19" t="s">
        <v>95</v>
      </c>
      <c r="C280" s="19"/>
      <c r="D280" s="14">
        <f t="shared" ref="D280" si="42">SUM(D281:D283)</f>
        <v>60000</v>
      </c>
    </row>
    <row r="281" spans="1:4" ht="69" customHeight="1">
      <c r="A281" s="20" t="s">
        <v>167</v>
      </c>
      <c r="B281" s="12" t="s">
        <v>97</v>
      </c>
      <c r="C281" s="12">
        <v>200</v>
      </c>
      <c r="D281" s="5">
        <v>30000</v>
      </c>
    </row>
    <row r="282" spans="1:4" ht="71.25" customHeight="1">
      <c r="A282" s="20" t="s">
        <v>158</v>
      </c>
      <c r="B282" s="12" t="s">
        <v>98</v>
      </c>
      <c r="C282" s="12">
        <v>200</v>
      </c>
      <c r="D282" s="5">
        <v>10000</v>
      </c>
    </row>
    <row r="283" spans="1:4" ht="83.25" customHeight="1">
      <c r="A283" s="20" t="s">
        <v>507</v>
      </c>
      <c r="B283" s="12" t="s">
        <v>98</v>
      </c>
      <c r="C283" s="12">
        <v>600</v>
      </c>
      <c r="D283" s="5">
        <v>20000</v>
      </c>
    </row>
    <row r="284" spans="1:4" s="3" customFormat="1" ht="114" customHeight="1">
      <c r="A284" s="16" t="s">
        <v>332</v>
      </c>
      <c r="B284" s="17" t="s">
        <v>99</v>
      </c>
      <c r="C284" s="17"/>
      <c r="D284" s="13">
        <f t="shared" ref="D284:D285" si="43">D285</f>
        <v>154800</v>
      </c>
    </row>
    <row r="285" spans="1:4" ht="53.25" customHeight="1">
      <c r="A285" s="18" t="s">
        <v>333</v>
      </c>
      <c r="B285" s="19" t="s">
        <v>100</v>
      </c>
      <c r="C285" s="19"/>
      <c r="D285" s="14">
        <f t="shared" si="43"/>
        <v>154800</v>
      </c>
    </row>
    <row r="286" spans="1:4" ht="134.25" customHeight="1">
      <c r="A286" s="20" t="s">
        <v>334</v>
      </c>
      <c r="B286" s="12" t="s">
        <v>101</v>
      </c>
      <c r="C286" s="12">
        <v>600</v>
      </c>
      <c r="D286" s="5">
        <v>154800</v>
      </c>
    </row>
    <row r="287" spans="1:4" ht="75" customHeight="1">
      <c r="A287" s="16" t="s">
        <v>213</v>
      </c>
      <c r="B287" s="17" t="s">
        <v>102</v>
      </c>
      <c r="C287" s="17"/>
      <c r="D287" s="13">
        <f>D288+D311+D319+D303+D307</f>
        <v>82561189.230000004</v>
      </c>
    </row>
    <row r="288" spans="1:4" ht="72" customHeight="1">
      <c r="A288" s="16" t="s">
        <v>214</v>
      </c>
      <c r="B288" s="17" t="s">
        <v>103</v>
      </c>
      <c r="C288" s="17"/>
      <c r="D288" s="13">
        <f t="shared" ref="D288" si="44">D289+D291+D295+D300</f>
        <v>60628748.039999999</v>
      </c>
    </row>
    <row r="289" spans="1:5" s="4" customFormat="1" ht="52.5" customHeight="1">
      <c r="A289" s="18" t="s">
        <v>105</v>
      </c>
      <c r="B289" s="19" t="s">
        <v>104</v>
      </c>
      <c r="C289" s="19"/>
      <c r="D289" s="14">
        <f t="shared" ref="D289" si="45">D290</f>
        <v>2035529.87</v>
      </c>
    </row>
    <row r="290" spans="1:5" s="3" customFormat="1" ht="98.25" customHeight="1">
      <c r="A290" s="20" t="s">
        <v>139</v>
      </c>
      <c r="B290" s="12" t="s">
        <v>106</v>
      </c>
      <c r="C290" s="12">
        <v>100</v>
      </c>
      <c r="D290" s="5">
        <f>2008911.79+26618.08</f>
        <v>2035529.87</v>
      </c>
    </row>
    <row r="291" spans="1:5" ht="74.25" customHeight="1">
      <c r="A291" s="18" t="s">
        <v>215</v>
      </c>
      <c r="B291" s="19" t="s">
        <v>107</v>
      </c>
      <c r="C291" s="19"/>
      <c r="D291" s="14">
        <f t="shared" ref="D291" si="46">SUM(D292:D294)</f>
        <v>57898426.609999999</v>
      </c>
    </row>
    <row r="292" spans="1:5" ht="112.5">
      <c r="A292" s="20" t="s">
        <v>216</v>
      </c>
      <c r="B292" s="12" t="s">
        <v>108</v>
      </c>
      <c r="C292" s="12">
        <v>100</v>
      </c>
      <c r="D292" s="5">
        <f>26208104.76+3962821.57+9169234.99+8648413.79+6215944.61+148181.14+46872+347257.39+121492.36+53128.44+116554.88+82361.27-52825.42+52825.42</f>
        <v>55120367.200000003</v>
      </c>
    </row>
    <row r="293" spans="1:5" s="4" customFormat="1" ht="81.75" customHeight="1">
      <c r="A293" s="20" t="s">
        <v>408</v>
      </c>
      <c r="B293" s="12" t="s">
        <v>108</v>
      </c>
      <c r="C293" s="12">
        <v>200</v>
      </c>
      <c r="D293" s="5">
        <f>1032748.71+147613.57+767006.44+584929.73+38000-7124+7362.99+73063.82+1833.13+19425.02+7200</f>
        <v>2672059.41</v>
      </c>
    </row>
    <row r="294" spans="1:5" s="3" customFormat="1" ht="56.25">
      <c r="A294" s="20" t="s">
        <v>217</v>
      </c>
      <c r="B294" s="12" t="s">
        <v>108</v>
      </c>
      <c r="C294" s="12">
        <v>800</v>
      </c>
      <c r="D294" s="5">
        <f>104000+2000</f>
        <v>106000</v>
      </c>
    </row>
    <row r="295" spans="1:5" s="4" customFormat="1" ht="56.25" customHeight="1">
      <c r="A295" s="18" t="s">
        <v>218</v>
      </c>
      <c r="B295" s="19" t="s">
        <v>109</v>
      </c>
      <c r="C295" s="19"/>
      <c r="D295" s="14">
        <f>SUM(D296:D299)</f>
        <v>100500</v>
      </c>
    </row>
    <row r="296" spans="1:5" s="4" customFormat="1" ht="93" customHeight="1">
      <c r="A296" s="20" t="s">
        <v>219</v>
      </c>
      <c r="B296" s="12" t="s">
        <v>110</v>
      </c>
      <c r="C296" s="12">
        <v>200</v>
      </c>
      <c r="D296" s="5">
        <v>8000</v>
      </c>
    </row>
    <row r="297" spans="1:5" s="3" customFormat="1" ht="103.5" customHeight="1">
      <c r="A297" s="26" t="s">
        <v>220</v>
      </c>
      <c r="B297" s="12" t="s">
        <v>135</v>
      </c>
      <c r="C297" s="12">
        <v>200</v>
      </c>
      <c r="D297" s="5">
        <f>30000+8000+8000+8000+6500+20000</f>
        <v>80500</v>
      </c>
    </row>
    <row r="298" spans="1:5" ht="102.75" customHeight="1">
      <c r="A298" s="20" t="s">
        <v>221</v>
      </c>
      <c r="B298" s="12" t="s">
        <v>111</v>
      </c>
      <c r="C298" s="12">
        <v>200</v>
      </c>
      <c r="D298" s="5">
        <f>1500+1500</f>
        <v>3000</v>
      </c>
    </row>
    <row r="299" spans="1:5" ht="72.75" customHeight="1">
      <c r="A299" s="20" t="s">
        <v>526</v>
      </c>
      <c r="B299" s="12" t="s">
        <v>525</v>
      </c>
      <c r="C299" s="12">
        <v>200</v>
      </c>
      <c r="D299" s="5">
        <v>9000</v>
      </c>
    </row>
    <row r="300" spans="1:5" ht="66" customHeight="1">
      <c r="A300" s="18" t="s">
        <v>113</v>
      </c>
      <c r="B300" s="19" t="s">
        <v>112</v>
      </c>
      <c r="C300" s="19"/>
      <c r="D300" s="14">
        <f>SUM(D301:D306)</f>
        <v>594291.56000000006</v>
      </c>
    </row>
    <row r="301" spans="1:5" ht="74.25" customHeight="1">
      <c r="A301" s="20" t="s">
        <v>165</v>
      </c>
      <c r="B301" s="12" t="s">
        <v>114</v>
      </c>
      <c r="C301" s="12">
        <v>200</v>
      </c>
      <c r="D301" s="5">
        <f>11125.5+444.9</f>
        <v>11570.4</v>
      </c>
    </row>
    <row r="302" spans="1:5" ht="114.75" customHeight="1">
      <c r="A302" s="20" t="s">
        <v>166</v>
      </c>
      <c r="B302" s="12" t="s">
        <v>115</v>
      </c>
      <c r="C302" s="12">
        <v>100</v>
      </c>
      <c r="D302" s="5">
        <f>542309.61+30411.55</f>
        <v>572721.16</v>
      </c>
      <c r="E302" s="30"/>
    </row>
    <row r="303" spans="1:5" ht="130.5" hidden="1" customHeight="1">
      <c r="A303" s="23" t="s">
        <v>501</v>
      </c>
      <c r="B303" s="17" t="s">
        <v>502</v>
      </c>
      <c r="C303" s="12"/>
      <c r="D303" s="13"/>
    </row>
    <row r="304" spans="1:5" ht="98.25" hidden="1" customHeight="1">
      <c r="A304" s="18" t="s">
        <v>503</v>
      </c>
      <c r="B304" s="19" t="s">
        <v>504</v>
      </c>
      <c r="C304" s="12"/>
      <c r="D304" s="14"/>
    </row>
    <row r="305" spans="1:4" ht="110.25" hidden="1" customHeight="1">
      <c r="A305" s="20" t="s">
        <v>505</v>
      </c>
      <c r="B305" s="12" t="s">
        <v>506</v>
      </c>
      <c r="C305" s="12">
        <v>600</v>
      </c>
      <c r="D305" s="5"/>
    </row>
    <row r="306" spans="1:4" ht="92.25" customHeight="1">
      <c r="A306" s="20" t="s">
        <v>532</v>
      </c>
      <c r="B306" s="12" t="s">
        <v>115</v>
      </c>
      <c r="C306" s="12">
        <v>200</v>
      </c>
      <c r="D306" s="5">
        <f>41885.24-31885.24</f>
        <v>9999.9999999999964</v>
      </c>
    </row>
    <row r="307" spans="1:4" ht="107.25" customHeight="1">
      <c r="A307" s="23" t="s">
        <v>501</v>
      </c>
      <c r="B307" s="17" t="s">
        <v>502</v>
      </c>
      <c r="C307" s="12"/>
      <c r="D307" s="13">
        <f>D308</f>
        <v>6045483.3600000003</v>
      </c>
    </row>
    <row r="308" spans="1:4" ht="92.25" customHeight="1">
      <c r="A308" s="18" t="s">
        <v>503</v>
      </c>
      <c r="B308" s="19" t="s">
        <v>504</v>
      </c>
      <c r="C308" s="12"/>
      <c r="D308" s="14">
        <f>SUM(D309:D310)</f>
        <v>6045483.3600000003</v>
      </c>
    </row>
    <row r="309" spans="1:4" ht="92.25" customHeight="1">
      <c r="A309" s="20" t="s">
        <v>603</v>
      </c>
      <c r="B309" s="12" t="s">
        <v>602</v>
      </c>
      <c r="C309" s="12">
        <v>600</v>
      </c>
      <c r="D309" s="5">
        <v>1291906</v>
      </c>
    </row>
    <row r="310" spans="1:4" ht="92.25" customHeight="1">
      <c r="A310" s="20" t="s">
        <v>505</v>
      </c>
      <c r="B310" s="12" t="s">
        <v>506</v>
      </c>
      <c r="C310" s="12">
        <v>600</v>
      </c>
      <c r="D310" s="5">
        <f>4570768.95+93744+18809.22+70255.19</f>
        <v>4753577.3600000003</v>
      </c>
    </row>
    <row r="311" spans="1:4" ht="66" customHeight="1">
      <c r="A311" s="23" t="s">
        <v>294</v>
      </c>
      <c r="B311" s="17" t="s">
        <v>295</v>
      </c>
      <c r="C311" s="17"/>
      <c r="D311" s="13">
        <f>D312+D316</f>
        <v>983804</v>
      </c>
    </row>
    <row r="312" spans="1:4" ht="58.5" customHeight="1">
      <c r="A312" s="21" t="s">
        <v>296</v>
      </c>
      <c r="B312" s="19" t="s">
        <v>297</v>
      </c>
      <c r="C312" s="19"/>
      <c r="D312" s="14">
        <f>SUM(D313:D315)</f>
        <v>355404</v>
      </c>
    </row>
    <row r="313" spans="1:4" s="3" customFormat="1" ht="83.25" customHeight="1">
      <c r="A313" s="11" t="s">
        <v>298</v>
      </c>
      <c r="B313" s="12" t="s">
        <v>299</v>
      </c>
      <c r="C313" s="12">
        <v>200</v>
      </c>
      <c r="D313" s="5">
        <f>40450+200000</f>
        <v>240450</v>
      </c>
    </row>
    <row r="314" spans="1:4" s="3" customFormat="1" ht="81.75" customHeight="1">
      <c r="A314" s="11" t="s">
        <v>300</v>
      </c>
      <c r="B314" s="12" t="s">
        <v>301</v>
      </c>
      <c r="C314" s="12">
        <v>200</v>
      </c>
      <c r="D314" s="5">
        <v>14954</v>
      </c>
    </row>
    <row r="315" spans="1:4" s="3" customFormat="1" ht="81.75" customHeight="1">
      <c r="A315" s="11" t="s">
        <v>649</v>
      </c>
      <c r="B315" s="12" t="s">
        <v>650</v>
      </c>
      <c r="C315" s="12">
        <v>200</v>
      </c>
      <c r="D315" s="5">
        <f>35000+65000</f>
        <v>100000</v>
      </c>
    </row>
    <row r="316" spans="1:4" ht="45.75" customHeight="1">
      <c r="A316" s="21" t="s">
        <v>302</v>
      </c>
      <c r="B316" s="19" t="s">
        <v>303</v>
      </c>
      <c r="C316" s="12"/>
      <c r="D316" s="14">
        <f t="shared" ref="D316" si="47">SUM(D317:D318)</f>
        <v>628400</v>
      </c>
    </row>
    <row r="317" spans="1:4" ht="82.5" customHeight="1">
      <c r="A317" s="11" t="s">
        <v>304</v>
      </c>
      <c r="B317" s="12" t="s">
        <v>305</v>
      </c>
      <c r="C317" s="12">
        <v>200</v>
      </c>
      <c r="D317" s="5">
        <f>150000+28000+285400</f>
        <v>463400</v>
      </c>
    </row>
    <row r="318" spans="1:4" ht="58.5" customHeight="1">
      <c r="A318" s="11" t="s">
        <v>429</v>
      </c>
      <c r="B318" s="12" t="s">
        <v>428</v>
      </c>
      <c r="C318" s="12">
        <v>200</v>
      </c>
      <c r="D318" s="5">
        <f>50000+115000</f>
        <v>165000</v>
      </c>
    </row>
    <row r="319" spans="1:4" ht="95.25" customHeight="1">
      <c r="A319" s="23" t="s">
        <v>710</v>
      </c>
      <c r="B319" s="17" t="s">
        <v>444</v>
      </c>
      <c r="C319" s="17"/>
      <c r="D319" s="13">
        <f t="shared" ref="D319" si="48">D320</f>
        <v>14903153.830000002</v>
      </c>
    </row>
    <row r="320" spans="1:4" ht="51.75" customHeight="1">
      <c r="A320" s="21" t="s">
        <v>711</v>
      </c>
      <c r="B320" s="19" t="s">
        <v>445</v>
      </c>
      <c r="C320" s="19"/>
      <c r="D320" s="14">
        <f>SUM(D321:D323)</f>
        <v>14903153.830000002</v>
      </c>
    </row>
    <row r="321" spans="1:4" ht="117.75" customHeight="1">
      <c r="A321" s="11" t="s">
        <v>446</v>
      </c>
      <c r="B321" s="12" t="s">
        <v>447</v>
      </c>
      <c r="C321" s="12">
        <v>100</v>
      </c>
      <c r="D321" s="5">
        <f>7910990.25+23172.02+679644+56373.05</f>
        <v>8670179.3200000003</v>
      </c>
    </row>
    <row r="322" spans="1:4" ht="87.75" customHeight="1">
      <c r="A322" s="11" t="s">
        <v>448</v>
      </c>
      <c r="B322" s="12" t="s">
        <v>447</v>
      </c>
      <c r="C322" s="12">
        <v>200</v>
      </c>
      <c r="D322" s="5">
        <f>4911231.36+5522-3000+174719.33+309897.86+385144.7+211331.26+77000</f>
        <v>6071846.5100000007</v>
      </c>
    </row>
    <row r="323" spans="1:4" ht="73.5" customHeight="1">
      <c r="A323" s="11" t="s">
        <v>553</v>
      </c>
      <c r="B323" s="12" t="s">
        <v>447</v>
      </c>
      <c r="C323" s="12">
        <v>800</v>
      </c>
      <c r="D323" s="5">
        <f>127406-5522+2120+37124</f>
        <v>161128</v>
      </c>
    </row>
    <row r="324" spans="1:4" ht="51.75" customHeight="1">
      <c r="A324" s="16" t="s">
        <v>117</v>
      </c>
      <c r="B324" s="17" t="s">
        <v>116</v>
      </c>
      <c r="C324" s="17"/>
      <c r="D324" s="13">
        <f>D325+D330+D334</f>
        <v>119400</v>
      </c>
    </row>
    <row r="325" spans="1:4" ht="51" customHeight="1">
      <c r="A325" s="16" t="s">
        <v>119</v>
      </c>
      <c r="B325" s="17" t="s">
        <v>118</v>
      </c>
      <c r="C325" s="17"/>
      <c r="D325" s="13">
        <f t="shared" ref="D325" si="49">D326</f>
        <v>89400</v>
      </c>
    </row>
    <row r="326" spans="1:4" ht="31.5" customHeight="1">
      <c r="A326" s="18" t="s">
        <v>121</v>
      </c>
      <c r="B326" s="19" t="s">
        <v>120</v>
      </c>
      <c r="C326" s="19"/>
      <c r="D326" s="14">
        <f t="shared" ref="D326" si="50">SUM(D327:D329)</f>
        <v>89400</v>
      </c>
    </row>
    <row r="327" spans="1:4" s="3" customFormat="1" ht="75">
      <c r="A327" s="20" t="s">
        <v>391</v>
      </c>
      <c r="B327" s="12" t="s">
        <v>392</v>
      </c>
      <c r="C327" s="12">
        <v>200</v>
      </c>
      <c r="D327" s="5">
        <v>29400</v>
      </c>
    </row>
    <row r="328" spans="1:4" ht="84" customHeight="1">
      <c r="A328" s="20" t="s">
        <v>393</v>
      </c>
      <c r="B328" s="12" t="s">
        <v>392</v>
      </c>
      <c r="C328" s="12">
        <v>600</v>
      </c>
      <c r="D328" s="5">
        <f>10000+35000</f>
        <v>45000</v>
      </c>
    </row>
    <row r="329" spans="1:4" ht="75">
      <c r="A329" s="20" t="s">
        <v>450</v>
      </c>
      <c r="B329" s="12" t="s">
        <v>451</v>
      </c>
      <c r="C329" s="12">
        <v>200</v>
      </c>
      <c r="D329" s="5">
        <v>15000</v>
      </c>
    </row>
    <row r="330" spans="1:4" s="4" customFormat="1" ht="37.5">
      <c r="A330" s="16" t="s">
        <v>123</v>
      </c>
      <c r="B330" s="17" t="s">
        <v>122</v>
      </c>
      <c r="C330" s="17"/>
      <c r="D330" s="13">
        <f t="shared" ref="D330" si="51">D331</f>
        <v>20000</v>
      </c>
    </row>
    <row r="331" spans="1:4" s="4" customFormat="1" ht="47.25" customHeight="1">
      <c r="A331" s="18" t="s">
        <v>409</v>
      </c>
      <c r="B331" s="19" t="s">
        <v>124</v>
      </c>
      <c r="C331" s="19"/>
      <c r="D331" s="14">
        <f>SUM(D332:D333)</f>
        <v>20000</v>
      </c>
    </row>
    <row r="332" spans="1:4" s="3" customFormat="1" ht="75" customHeight="1">
      <c r="A332" s="20" t="s">
        <v>159</v>
      </c>
      <c r="B332" s="12" t="s">
        <v>125</v>
      </c>
      <c r="C332" s="12">
        <v>200</v>
      </c>
      <c r="D332" s="5">
        <v>10000</v>
      </c>
    </row>
    <row r="333" spans="1:4" ht="75.75" customHeight="1">
      <c r="A333" s="20" t="s">
        <v>548</v>
      </c>
      <c r="B333" s="12" t="s">
        <v>394</v>
      </c>
      <c r="C333" s="12">
        <v>600</v>
      </c>
      <c r="D333" s="5">
        <v>10000</v>
      </c>
    </row>
    <row r="334" spans="1:4" ht="46.5" customHeight="1">
      <c r="A334" s="16" t="s">
        <v>395</v>
      </c>
      <c r="B334" s="17" t="s">
        <v>396</v>
      </c>
      <c r="C334" s="17"/>
      <c r="D334" s="13">
        <f t="shared" ref="D334" si="52">D335</f>
        <v>10000</v>
      </c>
    </row>
    <row r="335" spans="1:4" ht="40.5" customHeight="1">
      <c r="A335" s="18" t="s">
        <v>397</v>
      </c>
      <c r="B335" s="19" t="s">
        <v>398</v>
      </c>
      <c r="C335" s="19"/>
      <c r="D335" s="14">
        <f>SUM(D336:D337)</f>
        <v>10000</v>
      </c>
    </row>
    <row r="336" spans="1:4" ht="78.75" customHeight="1">
      <c r="A336" s="20" t="s">
        <v>399</v>
      </c>
      <c r="B336" s="12" t="s">
        <v>400</v>
      </c>
      <c r="C336" s="12">
        <v>200</v>
      </c>
      <c r="D336" s="5">
        <v>5000</v>
      </c>
    </row>
    <row r="337" spans="1:4" ht="73.5" customHeight="1">
      <c r="A337" s="20" t="s">
        <v>549</v>
      </c>
      <c r="B337" s="12" t="s">
        <v>400</v>
      </c>
      <c r="C337" s="12">
        <v>600</v>
      </c>
      <c r="D337" s="5">
        <v>5000</v>
      </c>
    </row>
    <row r="338" spans="1:4" s="3" customFormat="1" ht="90.75" customHeight="1">
      <c r="A338" s="23" t="s">
        <v>324</v>
      </c>
      <c r="B338" s="17" t="s">
        <v>306</v>
      </c>
      <c r="C338" s="12"/>
      <c r="D338" s="13">
        <f t="shared" ref="D338" si="53">D339</f>
        <v>13500</v>
      </c>
    </row>
    <row r="339" spans="1:4" ht="36.75" customHeight="1">
      <c r="A339" s="16" t="s">
        <v>321</v>
      </c>
      <c r="B339" s="17" t="s">
        <v>307</v>
      </c>
      <c r="C339" s="17"/>
      <c r="D339" s="13">
        <f t="shared" ref="D339" si="54">D340+D342</f>
        <v>13500</v>
      </c>
    </row>
    <row r="340" spans="1:4" ht="54" customHeight="1">
      <c r="A340" s="21" t="s">
        <v>323</v>
      </c>
      <c r="B340" s="19" t="s">
        <v>308</v>
      </c>
      <c r="C340" s="12"/>
      <c r="D340" s="14">
        <f t="shared" ref="D340" si="55">SUM(D341)</f>
        <v>12000</v>
      </c>
    </row>
    <row r="341" spans="1:4" ht="90" customHeight="1">
      <c r="A341" s="11" t="s">
        <v>309</v>
      </c>
      <c r="B341" s="12" t="s">
        <v>310</v>
      </c>
      <c r="C341" s="12">
        <v>200</v>
      </c>
      <c r="D341" s="5">
        <v>12000</v>
      </c>
    </row>
    <row r="342" spans="1:4" ht="154.5" customHeight="1">
      <c r="A342" s="21" t="s">
        <v>311</v>
      </c>
      <c r="B342" s="19" t="s">
        <v>312</v>
      </c>
      <c r="C342" s="12"/>
      <c r="D342" s="14">
        <f t="shared" ref="D342" si="56">D343</f>
        <v>1500</v>
      </c>
    </row>
    <row r="343" spans="1:4" s="4" customFormat="1" ht="102" customHeight="1">
      <c r="A343" s="11" t="s">
        <v>322</v>
      </c>
      <c r="B343" s="12" t="s">
        <v>313</v>
      </c>
      <c r="C343" s="12">
        <v>200</v>
      </c>
      <c r="D343" s="5">
        <v>1500</v>
      </c>
    </row>
    <row r="344" spans="1:4" ht="81" customHeight="1">
      <c r="A344" s="23" t="s">
        <v>335</v>
      </c>
      <c r="B344" s="17" t="s">
        <v>314</v>
      </c>
      <c r="C344" s="12"/>
      <c r="D344" s="13">
        <f t="shared" ref="D344" si="57">D345+D348</f>
        <v>177260</v>
      </c>
    </row>
    <row r="345" spans="1:4" ht="46.5" customHeight="1">
      <c r="A345" s="16" t="s">
        <v>194</v>
      </c>
      <c r="B345" s="17" t="s">
        <v>315</v>
      </c>
      <c r="C345" s="12"/>
      <c r="D345" s="13">
        <f t="shared" ref="D345" si="58">D346</f>
        <v>140000</v>
      </c>
    </row>
    <row r="346" spans="1:4" ht="34.5" customHeight="1">
      <c r="A346" s="18" t="s">
        <v>195</v>
      </c>
      <c r="B346" s="19" t="s">
        <v>316</v>
      </c>
      <c r="C346" s="12"/>
      <c r="D346" s="14">
        <f t="shared" ref="D346" si="59">SUM(D347:D347)</f>
        <v>140000</v>
      </c>
    </row>
    <row r="347" spans="1:4" ht="69" customHeight="1">
      <c r="A347" s="20" t="s">
        <v>376</v>
      </c>
      <c r="B347" s="12" t="s">
        <v>430</v>
      </c>
      <c r="C347" s="12">
        <v>300</v>
      </c>
      <c r="D347" s="5">
        <v>140000</v>
      </c>
    </row>
    <row r="348" spans="1:4" ht="56.25" customHeight="1">
      <c r="A348" s="16" t="s">
        <v>196</v>
      </c>
      <c r="B348" s="17" t="s">
        <v>317</v>
      </c>
      <c r="C348" s="12"/>
      <c r="D348" s="13">
        <f t="shared" ref="D348" si="60">D349</f>
        <v>37260</v>
      </c>
    </row>
    <row r="349" spans="1:4" ht="55.5" customHeight="1">
      <c r="A349" s="18" t="s">
        <v>197</v>
      </c>
      <c r="B349" s="19" t="s">
        <v>318</v>
      </c>
      <c r="C349" s="12"/>
      <c r="D349" s="14">
        <f t="shared" ref="D349" si="61">SUM(D350:D350)</f>
        <v>37260</v>
      </c>
    </row>
    <row r="350" spans="1:4" ht="111.75" customHeight="1">
      <c r="A350" s="11" t="s">
        <v>410</v>
      </c>
      <c r="B350" s="12" t="s">
        <v>431</v>
      </c>
      <c r="C350" s="12">
        <v>300</v>
      </c>
      <c r="D350" s="5">
        <v>37260</v>
      </c>
    </row>
    <row r="351" spans="1:4" ht="75" customHeight="1">
      <c r="A351" s="23" t="s">
        <v>347</v>
      </c>
      <c r="B351" s="17" t="s">
        <v>350</v>
      </c>
      <c r="C351" s="17"/>
      <c r="D351" s="13">
        <f t="shared" ref="D351:D352" si="62">D352</f>
        <v>404210.64</v>
      </c>
    </row>
    <row r="352" spans="1:4" ht="57.75" customHeight="1">
      <c r="A352" s="23" t="s">
        <v>348</v>
      </c>
      <c r="B352" s="17" t="s">
        <v>351</v>
      </c>
      <c r="C352" s="17"/>
      <c r="D352" s="13">
        <f t="shared" si="62"/>
        <v>404210.64</v>
      </c>
    </row>
    <row r="353" spans="1:4" ht="52.5" customHeight="1">
      <c r="A353" s="21" t="s">
        <v>349</v>
      </c>
      <c r="B353" s="19" t="s">
        <v>352</v>
      </c>
      <c r="C353" s="19"/>
      <c r="D353" s="14">
        <f t="shared" ref="D353" si="63">SUM(D354:D356)</f>
        <v>404210.64</v>
      </c>
    </row>
    <row r="354" spans="1:4" ht="71.25" customHeight="1">
      <c r="A354" s="11" t="s">
        <v>355</v>
      </c>
      <c r="B354" s="12" t="s">
        <v>353</v>
      </c>
      <c r="C354" s="12">
        <v>200</v>
      </c>
      <c r="D354" s="5">
        <f>1000+5000</f>
        <v>6000</v>
      </c>
    </row>
    <row r="355" spans="1:4" ht="79.5" customHeight="1">
      <c r="A355" s="11" t="s">
        <v>356</v>
      </c>
      <c r="B355" s="12" t="s">
        <v>354</v>
      </c>
      <c r="C355" s="12">
        <v>200</v>
      </c>
      <c r="D355" s="5">
        <f>56000+70000+6000+42400+21000+9000+24500-1689.36+18000</f>
        <v>245210.64</v>
      </c>
    </row>
    <row r="356" spans="1:4" ht="84" customHeight="1">
      <c r="A356" s="11" t="s">
        <v>357</v>
      </c>
      <c r="B356" s="12" t="s">
        <v>354</v>
      </c>
      <c r="C356" s="12">
        <v>600</v>
      </c>
      <c r="D356" s="5">
        <f>18000+90000+45000</f>
        <v>153000</v>
      </c>
    </row>
    <row r="357" spans="1:4" ht="49.5" customHeight="1">
      <c r="A357" s="23" t="s">
        <v>387</v>
      </c>
      <c r="B357" s="17" t="s">
        <v>388</v>
      </c>
      <c r="C357" s="12"/>
      <c r="D357" s="13">
        <f t="shared" ref="D357" si="64">D358</f>
        <v>8367889.1700000009</v>
      </c>
    </row>
    <row r="358" spans="1:4" s="4" customFormat="1" ht="77.25" customHeight="1">
      <c r="A358" s="16" t="s">
        <v>364</v>
      </c>
      <c r="B358" s="17" t="s">
        <v>126</v>
      </c>
      <c r="C358" s="17"/>
      <c r="D358" s="13">
        <f>SUM(D359:D374)</f>
        <v>8367889.1700000009</v>
      </c>
    </row>
    <row r="359" spans="1:4" s="4" customFormat="1" ht="96.75" customHeight="1">
      <c r="A359" s="20" t="s">
        <v>222</v>
      </c>
      <c r="B359" s="12" t="s">
        <v>127</v>
      </c>
      <c r="C359" s="12">
        <v>100</v>
      </c>
      <c r="D359" s="5">
        <f>1924040.25+25493.53</f>
        <v>1949533.78</v>
      </c>
    </row>
    <row r="360" spans="1:4" s="4" customFormat="1" ht="72" customHeight="1">
      <c r="A360" s="20" t="s">
        <v>223</v>
      </c>
      <c r="B360" s="12" t="s">
        <v>127</v>
      </c>
      <c r="C360" s="12">
        <v>200</v>
      </c>
      <c r="D360" s="5">
        <v>396396</v>
      </c>
    </row>
    <row r="361" spans="1:4" ht="54" customHeight="1">
      <c r="A361" s="20" t="s">
        <v>224</v>
      </c>
      <c r="B361" s="12" t="s">
        <v>127</v>
      </c>
      <c r="C361" s="12">
        <v>800</v>
      </c>
      <c r="D361" s="5">
        <v>1000</v>
      </c>
    </row>
    <row r="362" spans="1:4" ht="111" customHeight="1">
      <c r="A362" s="20" t="s">
        <v>225</v>
      </c>
      <c r="B362" s="12" t="s">
        <v>128</v>
      </c>
      <c r="C362" s="12">
        <v>100</v>
      </c>
      <c r="D362" s="5">
        <v>48000</v>
      </c>
    </row>
    <row r="363" spans="1:4" ht="108" customHeight="1">
      <c r="A363" s="20" t="s">
        <v>140</v>
      </c>
      <c r="B363" s="12" t="s">
        <v>129</v>
      </c>
      <c r="C363" s="12">
        <v>100</v>
      </c>
      <c r="D363" s="5">
        <f>1865636.37+26200+25066.83</f>
        <v>1916903.2000000002</v>
      </c>
    </row>
    <row r="364" spans="1:4" ht="71.25" customHeight="1">
      <c r="A364" s="20" t="s">
        <v>226</v>
      </c>
      <c r="B364" s="12" t="s">
        <v>129</v>
      </c>
      <c r="C364" s="12">
        <v>200</v>
      </c>
      <c r="D364" s="5">
        <f>328112.74+2193.24+9558</f>
        <v>339863.98</v>
      </c>
    </row>
    <row r="365" spans="1:4" ht="109.5" customHeight="1">
      <c r="A365" s="20" t="s">
        <v>141</v>
      </c>
      <c r="B365" s="12" t="s">
        <v>130</v>
      </c>
      <c r="C365" s="12">
        <v>100</v>
      </c>
      <c r="D365" s="5">
        <f>1280176.79+16962.34</f>
        <v>1297139.1300000001</v>
      </c>
    </row>
    <row r="366" spans="1:4" ht="131.25">
      <c r="A366" s="20" t="s">
        <v>453</v>
      </c>
      <c r="B366" s="12" t="s">
        <v>454</v>
      </c>
      <c r="C366" s="12">
        <v>100</v>
      </c>
      <c r="D366" s="5">
        <f>310948+29065</f>
        <v>340013</v>
      </c>
    </row>
    <row r="367" spans="1:4" ht="90" customHeight="1">
      <c r="A367" s="11" t="s">
        <v>142</v>
      </c>
      <c r="B367" s="12" t="s">
        <v>134</v>
      </c>
      <c r="C367" s="12">
        <v>100</v>
      </c>
      <c r="D367" s="5">
        <f>1824868.57+24179.51</f>
        <v>1849048.08</v>
      </c>
    </row>
    <row r="368" spans="1:4" ht="113.25" customHeight="1">
      <c r="A368" s="11" t="s">
        <v>508</v>
      </c>
      <c r="B368" s="12" t="s">
        <v>509</v>
      </c>
      <c r="C368" s="12">
        <v>200</v>
      </c>
      <c r="D368" s="5">
        <v>3600</v>
      </c>
    </row>
    <row r="369" spans="1:4" ht="129.75" customHeight="1">
      <c r="A369" s="11" t="s">
        <v>455</v>
      </c>
      <c r="B369" s="12" t="s">
        <v>456</v>
      </c>
      <c r="C369" s="12">
        <v>100</v>
      </c>
      <c r="D369" s="5">
        <f>49375+4473</f>
        <v>53848</v>
      </c>
    </row>
    <row r="370" spans="1:4" ht="132" customHeight="1">
      <c r="A370" s="11" t="s">
        <v>457</v>
      </c>
      <c r="B370" s="12" t="s">
        <v>458</v>
      </c>
      <c r="C370" s="12">
        <v>100</v>
      </c>
      <c r="D370" s="5">
        <f>49375+4473</f>
        <v>53848</v>
      </c>
    </row>
    <row r="371" spans="1:4" ht="132" customHeight="1">
      <c r="A371" s="11" t="s">
        <v>459</v>
      </c>
      <c r="B371" s="12" t="s">
        <v>460</v>
      </c>
      <c r="C371" s="12">
        <v>100</v>
      </c>
      <c r="D371" s="5">
        <f>49375+4473</f>
        <v>53848</v>
      </c>
    </row>
    <row r="372" spans="1:4" ht="132" customHeight="1">
      <c r="A372" s="11" t="s">
        <v>461</v>
      </c>
      <c r="B372" s="12" t="s">
        <v>462</v>
      </c>
      <c r="C372" s="12">
        <v>100</v>
      </c>
      <c r="D372" s="5">
        <f>49375+4473</f>
        <v>53848</v>
      </c>
    </row>
    <row r="373" spans="1:4" ht="67.5" customHeight="1">
      <c r="A373" s="11" t="s">
        <v>579</v>
      </c>
      <c r="B373" s="12" t="s">
        <v>580</v>
      </c>
      <c r="C373" s="12">
        <v>300</v>
      </c>
      <c r="D373" s="5">
        <v>5000</v>
      </c>
    </row>
    <row r="374" spans="1:4" ht="66" customHeight="1">
      <c r="A374" s="11" t="s">
        <v>581</v>
      </c>
      <c r="B374" s="12" t="s">
        <v>582</v>
      </c>
      <c r="C374" s="12">
        <v>300</v>
      </c>
      <c r="D374" s="5">
        <v>6000</v>
      </c>
    </row>
    <row r="375" spans="1:4" ht="56.25" customHeight="1">
      <c r="A375" s="23" t="s">
        <v>389</v>
      </c>
      <c r="B375" s="17" t="s">
        <v>390</v>
      </c>
      <c r="C375" s="12"/>
      <c r="D375" s="13">
        <f t="shared" ref="D375" si="65">D376</f>
        <v>4690358.1900000004</v>
      </c>
    </row>
    <row r="376" spans="1:4" ht="77.25" customHeight="1">
      <c r="A376" s="16" t="s">
        <v>326</v>
      </c>
      <c r="B376" s="17" t="s">
        <v>327</v>
      </c>
      <c r="C376" s="17"/>
      <c r="D376" s="13">
        <f>SUM(D377:D402)</f>
        <v>4690358.1900000004</v>
      </c>
    </row>
    <row r="377" spans="1:4" ht="56.25" customHeight="1">
      <c r="A377" s="20" t="s">
        <v>495</v>
      </c>
      <c r="B377" s="12" t="s">
        <v>494</v>
      </c>
      <c r="C377" s="12">
        <v>200</v>
      </c>
      <c r="D377" s="5">
        <f>885771.62+49111.4+102741.33</f>
        <v>1037624.35</v>
      </c>
    </row>
    <row r="378" spans="1:4" ht="35.25" customHeight="1">
      <c r="A378" s="20" t="s">
        <v>528</v>
      </c>
      <c r="B378" s="12" t="s">
        <v>494</v>
      </c>
      <c r="C378" s="12">
        <v>800</v>
      </c>
      <c r="D378" s="5">
        <f>30000+67770</f>
        <v>97770</v>
      </c>
    </row>
    <row r="379" spans="1:4" ht="111" customHeight="1">
      <c r="A379" s="33" t="s">
        <v>554</v>
      </c>
      <c r="B379" s="12" t="s">
        <v>555</v>
      </c>
      <c r="C379" s="12">
        <v>500</v>
      </c>
      <c r="D379" s="5">
        <v>1958.8</v>
      </c>
    </row>
    <row r="380" spans="1:4" ht="174.75" customHeight="1">
      <c r="A380" s="33" t="s">
        <v>556</v>
      </c>
      <c r="B380" s="12" t="s">
        <v>557</v>
      </c>
      <c r="C380" s="12">
        <v>500</v>
      </c>
      <c r="D380" s="5">
        <v>8247.2000000000007</v>
      </c>
    </row>
    <row r="381" spans="1:4" ht="73.5" customHeight="1">
      <c r="A381" s="33" t="s">
        <v>558</v>
      </c>
      <c r="B381" s="12" t="s">
        <v>559</v>
      </c>
      <c r="C381" s="12">
        <v>500</v>
      </c>
      <c r="D381" s="5">
        <v>1958.8</v>
      </c>
    </row>
    <row r="382" spans="1:4" ht="93" customHeight="1">
      <c r="A382" s="33" t="s">
        <v>560</v>
      </c>
      <c r="B382" s="12" t="s">
        <v>561</v>
      </c>
      <c r="C382" s="12">
        <v>500</v>
      </c>
      <c r="D382" s="5">
        <v>1958.8</v>
      </c>
    </row>
    <row r="383" spans="1:4" ht="106.5" customHeight="1">
      <c r="A383" s="33" t="s">
        <v>562</v>
      </c>
      <c r="B383" s="12" t="s">
        <v>563</v>
      </c>
      <c r="C383" s="12">
        <v>500</v>
      </c>
      <c r="D383" s="5">
        <v>1958.8</v>
      </c>
    </row>
    <row r="384" spans="1:4" ht="111" customHeight="1">
      <c r="A384" s="33" t="s">
        <v>564</v>
      </c>
      <c r="B384" s="12" t="s">
        <v>565</v>
      </c>
      <c r="C384" s="12">
        <v>500</v>
      </c>
      <c r="D384" s="5">
        <v>1958.8</v>
      </c>
    </row>
    <row r="385" spans="1:4" ht="90" customHeight="1">
      <c r="A385" s="33" t="s">
        <v>566</v>
      </c>
      <c r="B385" s="12" t="s">
        <v>567</v>
      </c>
      <c r="C385" s="12">
        <v>500</v>
      </c>
      <c r="D385" s="5">
        <v>1958.8</v>
      </c>
    </row>
    <row r="386" spans="1:4" ht="110.25" customHeight="1">
      <c r="A386" s="33" t="s">
        <v>605</v>
      </c>
      <c r="B386" s="12" t="s">
        <v>604</v>
      </c>
      <c r="C386" s="12">
        <v>500</v>
      </c>
      <c r="D386" s="5">
        <v>217996.85</v>
      </c>
    </row>
    <row r="387" spans="1:4" ht="130.5" customHeight="1">
      <c r="A387" s="20" t="s">
        <v>529</v>
      </c>
      <c r="B387" s="12" t="s">
        <v>527</v>
      </c>
      <c r="C387" s="12">
        <v>100</v>
      </c>
      <c r="D387" s="5">
        <f>190323.76+35154</f>
        <v>225477.76000000001</v>
      </c>
    </row>
    <row r="388" spans="1:4" ht="109.5" customHeight="1">
      <c r="A388" s="33" t="s">
        <v>583</v>
      </c>
      <c r="B388" s="12" t="s">
        <v>584</v>
      </c>
      <c r="C388" s="12">
        <v>200</v>
      </c>
      <c r="D388" s="5">
        <v>80000</v>
      </c>
    </row>
    <row r="389" spans="1:4" ht="60" customHeight="1">
      <c r="A389" s="33" t="s">
        <v>570</v>
      </c>
      <c r="B389" s="12" t="s">
        <v>571</v>
      </c>
      <c r="C389" s="12">
        <v>200</v>
      </c>
      <c r="D389" s="5">
        <v>36000</v>
      </c>
    </row>
    <row r="390" spans="1:4" ht="115.5" customHeight="1">
      <c r="A390" s="33" t="s">
        <v>683</v>
      </c>
      <c r="B390" s="12" t="s">
        <v>674</v>
      </c>
      <c r="C390" s="12">
        <v>100</v>
      </c>
      <c r="D390" s="5">
        <f>54400.24+32400.24</f>
        <v>86800.48</v>
      </c>
    </row>
    <row r="391" spans="1:4" ht="87.75" customHeight="1">
      <c r="A391" s="33" t="s">
        <v>712</v>
      </c>
      <c r="B391" s="12" t="s">
        <v>674</v>
      </c>
      <c r="C391" s="12">
        <v>200</v>
      </c>
      <c r="D391" s="5">
        <v>22000</v>
      </c>
    </row>
    <row r="392" spans="1:4" ht="203.25" customHeight="1">
      <c r="A392" s="33" t="s">
        <v>652</v>
      </c>
      <c r="B392" s="12" t="s">
        <v>651</v>
      </c>
      <c r="C392" s="12">
        <v>300</v>
      </c>
      <c r="D392" s="5">
        <v>200000</v>
      </c>
    </row>
    <row r="393" spans="1:4" ht="53.25" customHeight="1">
      <c r="A393" s="33" t="s">
        <v>680</v>
      </c>
      <c r="B393" s="12" t="s">
        <v>677</v>
      </c>
      <c r="C393" s="12">
        <v>800</v>
      </c>
      <c r="D393" s="5">
        <v>50000</v>
      </c>
    </row>
    <row r="394" spans="1:4" ht="49.5" customHeight="1">
      <c r="A394" s="33" t="s">
        <v>681</v>
      </c>
      <c r="B394" s="12" t="s">
        <v>678</v>
      </c>
      <c r="C394" s="12">
        <v>800</v>
      </c>
      <c r="D394" s="5">
        <v>50000</v>
      </c>
    </row>
    <row r="395" spans="1:4" ht="57" customHeight="1">
      <c r="A395" s="33" t="s">
        <v>682</v>
      </c>
      <c r="B395" s="12" t="s">
        <v>679</v>
      </c>
      <c r="C395" s="12">
        <v>800</v>
      </c>
      <c r="D395" s="5">
        <v>50000</v>
      </c>
    </row>
    <row r="396" spans="1:4" ht="96.75" customHeight="1">
      <c r="A396" s="33" t="s">
        <v>676</v>
      </c>
      <c r="B396" s="12" t="s">
        <v>675</v>
      </c>
      <c r="C396" s="12">
        <v>800</v>
      </c>
      <c r="D396" s="5">
        <v>27310.3</v>
      </c>
    </row>
    <row r="397" spans="1:4" ht="86.25" customHeight="1">
      <c r="A397" s="33" t="s">
        <v>714</v>
      </c>
      <c r="B397" s="12" t="s">
        <v>713</v>
      </c>
      <c r="C397" s="12">
        <v>300</v>
      </c>
      <c r="D397" s="5">
        <v>20000</v>
      </c>
    </row>
    <row r="398" spans="1:4" ht="87.75" customHeight="1">
      <c r="A398" s="20" t="s">
        <v>464</v>
      </c>
      <c r="B398" s="12" t="s">
        <v>358</v>
      </c>
      <c r="C398" s="12">
        <v>200</v>
      </c>
      <c r="D398" s="5">
        <f>997.44-440.68+2797.29</f>
        <v>3354.05</v>
      </c>
    </row>
    <row r="399" spans="1:4" ht="63.75" customHeight="1">
      <c r="A399" s="20" t="s">
        <v>568</v>
      </c>
      <c r="B399" s="12" t="s">
        <v>569</v>
      </c>
      <c r="C399" s="12">
        <v>300</v>
      </c>
      <c r="D399" s="5">
        <f>2217974.52+55616.66</f>
        <v>2273591.1800000002</v>
      </c>
    </row>
    <row r="400" spans="1:4" ht="99" customHeight="1">
      <c r="A400" s="20" t="s">
        <v>441</v>
      </c>
      <c r="B400" s="12" t="s">
        <v>325</v>
      </c>
      <c r="C400" s="12">
        <v>200</v>
      </c>
      <c r="D400" s="5">
        <f>10635.58+70364.42</f>
        <v>81000</v>
      </c>
    </row>
    <row r="401" spans="1:4" ht="149.25" customHeight="1">
      <c r="A401" s="20" t="s">
        <v>607</v>
      </c>
      <c r="B401" s="12" t="s">
        <v>606</v>
      </c>
      <c r="C401" s="12">
        <v>200</v>
      </c>
      <c r="D401" s="5">
        <v>101433.22</v>
      </c>
    </row>
    <row r="402" spans="1:4" ht="57" customHeight="1">
      <c r="A402" s="20" t="s">
        <v>585</v>
      </c>
      <c r="B402" s="12" t="s">
        <v>586</v>
      </c>
      <c r="C402" s="12">
        <v>800</v>
      </c>
      <c r="D402" s="5">
        <v>10000</v>
      </c>
    </row>
    <row r="403" spans="1:4" ht="33.75" customHeight="1">
      <c r="A403" s="27" t="s">
        <v>377</v>
      </c>
      <c r="B403" s="28"/>
      <c r="C403" s="29"/>
      <c r="D403" s="13">
        <f>D28+D125+D192+D223+D246+D271+D275+D287+D324+D338+D344+D351+D358+D376</f>
        <v>518617297.09999996</v>
      </c>
    </row>
    <row r="404" spans="1:4">
      <c r="A404" s="8"/>
      <c r="B404" s="9"/>
      <c r="C404" s="10"/>
      <c r="D404" s="32" t="s">
        <v>653</v>
      </c>
    </row>
    <row r="405" spans="1:4">
      <c r="A405" s="6"/>
      <c r="B405" s="6"/>
      <c r="C405" s="7"/>
    </row>
    <row r="406" spans="1:4" s="4" customFormat="1">
      <c r="A406" s="6"/>
      <c r="B406" s="6"/>
      <c r="C406" s="7"/>
    </row>
    <row r="407" spans="1:4">
      <c r="A407" s="6"/>
      <c r="B407" s="6"/>
      <c r="C407" s="7"/>
    </row>
    <row r="408" spans="1:4">
      <c r="A408" s="6"/>
      <c r="B408" s="6"/>
      <c r="C408" s="7"/>
    </row>
    <row r="409" spans="1:4">
      <c r="A409" s="6"/>
      <c r="B409" s="6"/>
      <c r="C409" s="7"/>
    </row>
    <row r="410" spans="1:4">
      <c r="A410" s="6"/>
      <c r="B410" s="6"/>
      <c r="C410" s="7"/>
    </row>
    <row r="411" spans="1:4">
      <c r="A411" s="6"/>
      <c r="B411" s="6"/>
      <c r="C411" s="7"/>
    </row>
    <row r="412" spans="1:4">
      <c r="A412" s="6"/>
      <c r="B412" s="6"/>
      <c r="C412" s="7"/>
    </row>
    <row r="413" spans="1:4">
      <c r="A413" s="6"/>
      <c r="B413" s="6"/>
      <c r="C413" s="7"/>
    </row>
    <row r="414" spans="1:4">
      <c r="A414" s="6"/>
      <c r="B414" s="6"/>
      <c r="C414" s="7"/>
    </row>
    <row r="415" spans="1:4">
      <c r="A415" s="6"/>
      <c r="B415" s="6"/>
      <c r="C415" s="7"/>
    </row>
    <row r="416" spans="1:4">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sheetData>
  <mergeCells count="25">
    <mergeCell ref="B6:D6"/>
    <mergeCell ref="B7:D7"/>
    <mergeCell ref="B8:D8"/>
    <mergeCell ref="B9:D9"/>
    <mergeCell ref="B11:D11"/>
    <mergeCell ref="B10:D10"/>
    <mergeCell ref="B1:D1"/>
    <mergeCell ref="B2:D2"/>
    <mergeCell ref="B3:D3"/>
    <mergeCell ref="B4:D4"/>
    <mergeCell ref="B5:D5"/>
    <mergeCell ref="D25:D26"/>
    <mergeCell ref="A23:D23"/>
    <mergeCell ref="A24:C24"/>
    <mergeCell ref="A25:A26"/>
    <mergeCell ref="B25:B26"/>
    <mergeCell ref="C25:C26"/>
    <mergeCell ref="B18:D18"/>
    <mergeCell ref="B19:D19"/>
    <mergeCell ref="B20:D20"/>
    <mergeCell ref="B13:D13"/>
    <mergeCell ref="B14:D14"/>
    <mergeCell ref="B15:D15"/>
    <mergeCell ref="B16:D16"/>
    <mergeCell ref="B17:D17"/>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2024-03-29T08:39:58Z</dcterms:modified>
</cp:coreProperties>
</file>